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9" yWindow="65400" windowWidth="13164" windowHeight="11765" tabRatio="698" activeTab="11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  <sheet name="листопад" sheetId="11" r:id="rId11"/>
    <sheet name="грудень" sheetId="12" r:id="rId12"/>
    <sheet name="Лист1" sheetId="13" r:id="rId13"/>
  </sheets>
  <definedNames>
    <definedName name="_xlnm.Print_Area" localSheetId="2">'бер'!$A$1:$AG$99</definedName>
    <definedName name="_xlnm.Print_Area" localSheetId="8">'вер'!$A$1:$AG$99</definedName>
    <definedName name="_xlnm.Print_Area" localSheetId="11">'грудень'!$A$1:$AG$99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0">'листопад'!$A$1:$AG$99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<sst xmlns="http://schemas.openxmlformats.org/spreadsheetml/2006/main" count="1248" uniqueCount="77">
  <si>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</si>
  <si>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</si>
  <si>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</si>
  <si>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</si>
  <si>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</si>
  <si>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</si>
  <si>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</si>
  <si>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</si>
  <si>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</si>
  <si>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</si>
  <si>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</si>
  <si>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</si>
  <si>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</si>
  <si>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</si>
  <si>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</si>
  <si>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</si>
  <si>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</si>
  <si>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</si>
  <si>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</si>
  <si>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</si>
  <si>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</si>
  <si>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</si>
  <si>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</si>
  <si>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</si>
  <si>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</si>
  <si>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</si>
  <si>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</si>
  <si>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</si>
  <si>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</si>
  <si>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</si>
  <si>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</si>
  <si>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</si>
  <si>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</si>
  <si>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</si>
  <si>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</si>
  <si>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</si>
  <si>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</si>
  <si>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</si>
  <si>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</si>
  <si>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</si>
  <si>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</si>
  <si>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</si>
  <si>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</si>
  <si>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</si>
  <si>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</si>
  <si>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</si>
  <si>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</si>
  <si>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</si>
  <si>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</si>
  <si>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</si>
  <si>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</si>
  <si>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</si>
  <si>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</si>
  <si>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</si>
  <si>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</si>
  <si>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</si>
  <si>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</si>
  <si>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</si>
  <si>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</si>
  <si>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</si>
  <si>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</si>
  <si>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</si>
  <si>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</si>
  <si>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</si>
  <si>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</si>
  <si>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</si>
  <si>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</si>
  <si>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</si>
  <si>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</si>
  <si>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</si>
  <si>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</si>
  <si>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</si>
  <si>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</si>
  <si>
    <t>по міському бюджету м.Черкаси у ЛИСТОПАДІ 2017 р.</t>
  </si>
  <si>
    <t>надійшло доходів/план видатків
 на листопад</t>
  </si>
  <si>
    <t>по міському бюджету м.Черкаси у ГРУДНІ 2017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</si>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</sst>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10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196" fontId="0" fillId="34" borderId="0" xfId="0" applyNumberFormat="1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7" sqref="AE7:AE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C7+E7+K7-AF16-AF25</f>
        <v>24791.3</v>
      </c>
      <c r="AF7" s="72"/>
      <c r="AG7" s="48"/>
    </row>
    <row r="8" spans="1:55" ht="18" customHeight="1">
      <c r="A8" s="60" t="s">
        <v>30</v>
      </c>
      <c r="B8" s="40">
        <f>SUM(D8:AB8)</f>
        <v>153454.80000000002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>
        <v>2678.8</v>
      </c>
      <c r="L8" s="55">
        <v>5056.5</v>
      </c>
      <c r="M8" s="55">
        <v>3671.8</v>
      </c>
      <c r="N8" s="55">
        <v>9985.5</v>
      </c>
      <c r="O8" s="55">
        <v>5174.1</v>
      </c>
      <c r="P8" s="55">
        <v>4614.4</v>
      </c>
      <c r="Q8" s="55">
        <v>9800.6</v>
      </c>
      <c r="R8" s="55">
        <v>8676.4</v>
      </c>
      <c r="S8" s="57">
        <v>4342.3</v>
      </c>
      <c r="T8" s="57">
        <v>3382.2</v>
      </c>
      <c r="U8" s="55">
        <v>3804.2</v>
      </c>
      <c r="V8" s="55">
        <v>5326.4</v>
      </c>
      <c r="W8" s="55">
        <v>10115.9</v>
      </c>
      <c r="X8" s="56">
        <v>12345.6</v>
      </c>
      <c r="Y8" s="56"/>
      <c r="Z8" s="56"/>
      <c r="AA8" s="56"/>
      <c r="AB8" s="55"/>
      <c r="AC8" s="23"/>
      <c r="AD8" s="23"/>
      <c r="AE8" s="83">
        <f>B8+C8-AF9</f>
        <v>77092.95000000004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163517.40000000002</v>
      </c>
      <c r="C9" s="24">
        <f t="shared" si="0"/>
        <v>91465.7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22587.7</v>
      </c>
      <c r="L9" s="24">
        <f t="shared" si="0"/>
        <v>4971.9</v>
      </c>
      <c r="M9" s="24">
        <f t="shared" si="0"/>
        <v>4117.2</v>
      </c>
      <c r="N9" s="24">
        <f t="shared" si="0"/>
        <v>3696.5</v>
      </c>
      <c r="O9" s="24">
        <f t="shared" si="0"/>
        <v>1159.1</v>
      </c>
      <c r="P9" s="24">
        <f t="shared" si="0"/>
        <v>4032.2</v>
      </c>
      <c r="Q9" s="24">
        <f t="shared" si="0"/>
        <v>3872.9</v>
      </c>
      <c r="R9" s="24">
        <f t="shared" si="0"/>
        <v>1376.6</v>
      </c>
      <c r="S9" s="24">
        <f t="shared" si="0"/>
        <v>2278</v>
      </c>
      <c r="T9" s="24">
        <f t="shared" si="0"/>
        <v>7209.5</v>
      </c>
      <c r="U9" s="24">
        <f t="shared" si="0"/>
        <v>21325.9</v>
      </c>
      <c r="V9" s="24">
        <f t="shared" si="0"/>
        <v>34707.649999999994</v>
      </c>
      <c r="W9" s="24">
        <f t="shared" si="0"/>
        <v>1650.4999999999998</v>
      </c>
      <c r="X9" s="24">
        <f t="shared" si="0"/>
        <v>2870.7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144561.65</v>
      </c>
      <c r="AG9" s="50">
        <f>AG10+AG15+AG24+AG33+AG47+AG52+AG54+AG61+AG62+AG71+AG72+AG76+AG88+AG81+AG83+AG82+AG69+AG89+AG91+AG90+AG70+AG40+AG92</f>
        <v>110421.44999999998</v>
      </c>
      <c r="AH9" s="49"/>
      <c r="AI9" s="49"/>
    </row>
    <row r="10" spans="1:33" ht="15">
      <c r="A10" s="77" t="s">
        <v>4</v>
      </c>
      <c r="B10" s="26">
        <f>12847.4-859.7</f>
        <v>11987.699999999999</v>
      </c>
      <c r="C10" s="26">
        <v>16856.1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>
        <v>3864</v>
      </c>
      <c r="L10" s="22">
        <v>883.9</v>
      </c>
      <c r="M10" s="22">
        <v>27.4</v>
      </c>
      <c r="N10" s="22">
        <v>52.7</v>
      </c>
      <c r="O10" s="27">
        <v>6</v>
      </c>
      <c r="P10" s="22">
        <v>88.3</v>
      </c>
      <c r="Q10" s="22">
        <v>4.5</v>
      </c>
      <c r="R10" s="22">
        <v>8.7</v>
      </c>
      <c r="S10" s="26">
        <v>38.5</v>
      </c>
      <c r="T10" s="26">
        <v>11.6</v>
      </c>
      <c r="U10" s="26">
        <f>60.5+196.5</f>
        <v>257</v>
      </c>
      <c r="V10" s="26">
        <v>8306.1</v>
      </c>
      <c r="W10" s="26">
        <v>947.5</v>
      </c>
      <c r="X10" s="22">
        <v>0.2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15025.8</v>
      </c>
      <c r="AG10" s="27">
        <f>B10+C10-AF10</f>
        <v>13817.999999999996</v>
      </c>
    </row>
    <row r="11" spans="1:33" ht="15">
      <c r="A11" s="78" t="s">
        <v>5</v>
      </c>
      <c r="B11" s="25">
        <f>12248.9-18.2-1258.2</f>
        <v>10972.499999999998</v>
      </c>
      <c r="C11" s="26">
        <f>14827.5-0.7</f>
        <v>14826.8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>
        <v>3844.6</v>
      </c>
      <c r="L11" s="22">
        <v>856.5</v>
      </c>
      <c r="M11" s="22"/>
      <c r="N11" s="22">
        <v>3.1</v>
      </c>
      <c r="O11" s="27"/>
      <c r="P11" s="22">
        <v>74.5</v>
      </c>
      <c r="Q11" s="22">
        <v>0.2</v>
      </c>
      <c r="R11" s="22"/>
      <c r="S11" s="26"/>
      <c r="T11" s="26"/>
      <c r="U11" s="26"/>
      <c r="V11" s="26">
        <v>8228.5</v>
      </c>
      <c r="W11" s="26">
        <v>924.9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14284.9</v>
      </c>
      <c r="AG11" s="27">
        <f>B11+C11-AF11</f>
        <v>11514.399999999996</v>
      </c>
    </row>
    <row r="12" spans="1:33" ht="15">
      <c r="A12" s="78" t="s">
        <v>2</v>
      </c>
      <c r="B12" s="25">
        <f>93.9-1.2</f>
        <v>92.7</v>
      </c>
      <c r="C12" s="26">
        <v>162.9</v>
      </c>
      <c r="D12" s="22"/>
      <c r="E12" s="22"/>
      <c r="F12" s="22">
        <v>4.3</v>
      </c>
      <c r="G12" s="22"/>
      <c r="H12" s="22">
        <v>0.9</v>
      </c>
      <c r="I12" s="22"/>
      <c r="J12" s="26"/>
      <c r="K12" s="22">
        <v>0.3</v>
      </c>
      <c r="L12" s="22">
        <v>18</v>
      </c>
      <c r="M12" s="22"/>
      <c r="N12" s="22"/>
      <c r="O12" s="27"/>
      <c r="P12" s="22"/>
      <c r="Q12" s="22"/>
      <c r="R12" s="22"/>
      <c r="S12" s="26"/>
      <c r="T12" s="26"/>
      <c r="U12" s="26">
        <v>60.5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84</v>
      </c>
      <c r="AG12" s="27">
        <f>B12+C12-AF12</f>
        <v>171.60000000000002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922.5000000000007</v>
      </c>
      <c r="C14" s="26">
        <f t="shared" si="2"/>
        <v>1866.3999999999992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19.10000000000009</v>
      </c>
      <c r="L14" s="22">
        <f t="shared" si="2"/>
        <v>9.399999999999977</v>
      </c>
      <c r="M14" s="22">
        <f t="shared" si="2"/>
        <v>27.4</v>
      </c>
      <c r="N14" s="22">
        <f t="shared" si="2"/>
        <v>49.6</v>
      </c>
      <c r="O14" s="22">
        <f t="shared" si="2"/>
        <v>6</v>
      </c>
      <c r="P14" s="22">
        <f t="shared" si="2"/>
        <v>13.799999999999997</v>
      </c>
      <c r="Q14" s="22">
        <f t="shared" si="2"/>
        <v>4.3</v>
      </c>
      <c r="R14" s="22">
        <f t="shared" si="2"/>
        <v>8.7</v>
      </c>
      <c r="S14" s="22">
        <f t="shared" si="2"/>
        <v>38.5</v>
      </c>
      <c r="T14" s="22">
        <f t="shared" si="2"/>
        <v>11.6</v>
      </c>
      <c r="U14" s="22">
        <f t="shared" si="2"/>
        <v>196.5</v>
      </c>
      <c r="V14" s="22">
        <f t="shared" si="2"/>
        <v>77.60000000000036</v>
      </c>
      <c r="W14" s="22">
        <f t="shared" si="2"/>
        <v>22.600000000000023</v>
      </c>
      <c r="X14" s="22">
        <f t="shared" si="2"/>
        <v>0.2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656.9000000000005</v>
      </c>
      <c r="AG14" s="27">
        <f>AG10-AG11-AG12-AG13</f>
        <v>2132.0000000000005</v>
      </c>
    </row>
    <row r="15" spans="1:33" ht="15" customHeight="1">
      <c r="A15" s="77" t="s">
        <v>6</v>
      </c>
      <c r="B15" s="26">
        <f>53446.8-438.1</f>
        <v>53008.700000000004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>
        <v>5218</v>
      </c>
      <c r="L15" s="22">
        <v>72</v>
      </c>
      <c r="M15" s="22">
        <v>150.5</v>
      </c>
      <c r="N15" s="22">
        <v>33.2</v>
      </c>
      <c r="O15" s="27">
        <v>16.3</v>
      </c>
      <c r="P15" s="22">
        <v>1406.1</v>
      </c>
      <c r="Q15" s="27">
        <v>728.2</v>
      </c>
      <c r="R15" s="22">
        <v>1001.9</v>
      </c>
      <c r="S15" s="26">
        <v>486.9</v>
      </c>
      <c r="T15" s="26">
        <v>259.1</v>
      </c>
      <c r="U15" s="26">
        <f>19.6+10334.5</f>
        <v>10354.1</v>
      </c>
      <c r="V15" s="26">
        <v>13977.75</v>
      </c>
      <c r="W15" s="26">
        <v>43.8</v>
      </c>
      <c r="X15" s="22">
        <v>0</v>
      </c>
      <c r="Y15" s="26"/>
      <c r="Z15" s="26"/>
      <c r="AA15" s="26"/>
      <c r="AB15" s="22"/>
      <c r="AC15" s="22"/>
      <c r="AD15" s="22"/>
      <c r="AE15" s="22"/>
      <c r="AF15" s="27">
        <f t="shared" si="1"/>
        <v>47844.75000000001</v>
      </c>
      <c r="AG15" s="27">
        <f aca="true" t="shared" si="3" ref="AG15:AG31">B15+C15-AF15</f>
        <v>42680.24999999999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>
        <v>10334.5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18355.4</v>
      </c>
      <c r="AG16" s="71">
        <f t="shared" si="3"/>
        <v>18982.299999999996</v>
      </c>
      <c r="AH16" s="75"/>
    </row>
    <row r="17" spans="1:34" ht="15">
      <c r="A17" s="78" t="s">
        <v>5</v>
      </c>
      <c r="B17" s="26">
        <f>42746.7+985.9</f>
        <v>43732.6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>
        <v>5218</v>
      </c>
      <c r="L17" s="22"/>
      <c r="M17" s="22"/>
      <c r="N17" s="22"/>
      <c r="O17" s="27">
        <v>13.3</v>
      </c>
      <c r="P17" s="22"/>
      <c r="Q17" s="27"/>
      <c r="R17" s="22"/>
      <c r="S17" s="26"/>
      <c r="T17" s="26"/>
      <c r="U17" s="26">
        <v>10334.5</v>
      </c>
      <c r="V17" s="26">
        <v>13042.5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39875.8</v>
      </c>
      <c r="AG17" s="27">
        <f t="shared" si="3"/>
        <v>26186</v>
      </c>
      <c r="AH17" s="6"/>
    </row>
    <row r="18" spans="1:35" ht="15">
      <c r="A18" s="78" t="s">
        <v>3</v>
      </c>
      <c r="B18" s="26">
        <f>9.1-1.2</f>
        <v>7.8999999999999995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>
        <v>3.3</v>
      </c>
      <c r="N18" s="22"/>
      <c r="O18" s="27"/>
      <c r="P18" s="22">
        <v>2.6</v>
      </c>
      <c r="Q18" s="27">
        <v>0.4</v>
      </c>
      <c r="R18" s="22">
        <v>0.9</v>
      </c>
      <c r="S18" s="26">
        <v>2.1</v>
      </c>
      <c r="T18" s="26">
        <v>0.9</v>
      </c>
      <c r="U18" s="26"/>
      <c r="V18" s="26">
        <v>1.5</v>
      </c>
      <c r="W18" s="26">
        <v>0.4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18.9</v>
      </c>
      <c r="AG18" s="27">
        <f t="shared" si="3"/>
        <v>38.5</v>
      </c>
      <c r="AH18" s="6"/>
      <c r="AI18" s="6"/>
    </row>
    <row r="19" spans="1:33" ht="15">
      <c r="A19" s="78" t="s">
        <v>1</v>
      </c>
      <c r="B19" s="26">
        <f>2429.5+3029.3</f>
        <v>5458.8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>
        <v>57.7</v>
      </c>
      <c r="M19" s="22">
        <v>74.3</v>
      </c>
      <c r="N19" s="22"/>
      <c r="O19" s="27"/>
      <c r="P19" s="22">
        <v>214.2</v>
      </c>
      <c r="Q19" s="27">
        <v>468.4</v>
      </c>
      <c r="R19" s="22">
        <v>80.9</v>
      </c>
      <c r="S19" s="26">
        <v>3.6</v>
      </c>
      <c r="T19" s="26">
        <v>66.6</v>
      </c>
      <c r="U19" s="26"/>
      <c r="V19" s="26">
        <v>713.9</v>
      </c>
      <c r="W19" s="26">
        <v>13.9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3389.7999999999997</v>
      </c>
      <c r="AG19" s="27">
        <f t="shared" si="3"/>
        <v>2707.2000000000003</v>
      </c>
    </row>
    <row r="20" spans="1:33" ht="15">
      <c r="A20" s="78" t="s">
        <v>2</v>
      </c>
      <c r="B20" s="26">
        <f>4684.8-4046.3</f>
        <v>638.5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>
        <v>38.1</v>
      </c>
      <c r="N20" s="22"/>
      <c r="O20" s="27">
        <v>3</v>
      </c>
      <c r="P20" s="22">
        <v>228.9</v>
      </c>
      <c r="Q20" s="27">
        <v>67.9</v>
      </c>
      <c r="R20" s="22">
        <v>36.5</v>
      </c>
      <c r="S20" s="26">
        <v>416.7</v>
      </c>
      <c r="T20" s="26">
        <v>45.9</v>
      </c>
      <c r="U20" s="26"/>
      <c r="V20" s="26">
        <v>70.6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1286</v>
      </c>
      <c r="AG20" s="27">
        <f t="shared" si="3"/>
        <v>6753.1</v>
      </c>
    </row>
    <row r="21" spans="1:33" ht="15">
      <c r="A21" s="78" t="s">
        <v>16</v>
      </c>
      <c r="B21" s="26">
        <f>1271.9-29.9-73-52.2</f>
        <v>1116.8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>
        <v>16.3</v>
      </c>
      <c r="N21" s="22"/>
      <c r="O21" s="27"/>
      <c r="P21" s="22">
        <f>422.6+10</f>
        <v>432.6</v>
      </c>
      <c r="Q21" s="27"/>
      <c r="R21" s="22">
        <v>755.4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1222.1</v>
      </c>
      <c r="AG21" s="27">
        <f t="shared" si="3"/>
        <v>755.8000000000002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2054.100000000006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14.299999999999997</v>
      </c>
      <c r="M23" s="22">
        <f t="shared" si="4"/>
        <v>18.49999999999999</v>
      </c>
      <c r="N23" s="22">
        <f t="shared" si="4"/>
        <v>33.2</v>
      </c>
      <c r="O23" s="22">
        <f t="shared" si="4"/>
        <v>0</v>
      </c>
      <c r="P23" s="22">
        <f t="shared" si="4"/>
        <v>527.8</v>
      </c>
      <c r="Q23" s="22">
        <f t="shared" si="4"/>
        <v>191.50000000000009</v>
      </c>
      <c r="R23" s="22">
        <f t="shared" si="4"/>
        <v>128.20000000000005</v>
      </c>
      <c r="S23" s="22">
        <f t="shared" si="4"/>
        <v>64.49999999999994</v>
      </c>
      <c r="T23" s="22">
        <f t="shared" si="4"/>
        <v>145.70000000000005</v>
      </c>
      <c r="U23" s="22">
        <f t="shared" si="4"/>
        <v>19.600000000000364</v>
      </c>
      <c r="V23" s="22">
        <f t="shared" si="4"/>
        <v>149.25000000000003</v>
      </c>
      <c r="W23" s="22">
        <f t="shared" si="4"/>
        <v>29.5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2052.1500000000015</v>
      </c>
      <c r="AG23" s="27">
        <f t="shared" si="3"/>
        <v>6239.650000000005</v>
      </c>
    </row>
    <row r="24" spans="1:36" ht="15" customHeight="1">
      <c r="A24" s="77" t="s">
        <v>7</v>
      </c>
      <c r="B24" s="26">
        <f>27750.1-1734.2+106.8</f>
        <v>26122.699999999997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>
        <f>580.2+8916.4</f>
        <v>9496.6</v>
      </c>
      <c r="L24" s="22"/>
      <c r="M24" s="22">
        <f>448+666.5</f>
        <v>1114.5</v>
      </c>
      <c r="N24" s="22">
        <f>75.8+4</f>
        <v>79.8</v>
      </c>
      <c r="O24" s="27">
        <v>4.4</v>
      </c>
      <c r="P24" s="22"/>
      <c r="Q24" s="27">
        <f>1148.5+553.7</f>
        <v>1702.2</v>
      </c>
      <c r="R24" s="27">
        <v>2.8</v>
      </c>
      <c r="S24" s="26">
        <v>57.9</v>
      </c>
      <c r="T24" s="26">
        <v>1.7</v>
      </c>
      <c r="U24" s="26">
        <v>8101.6</v>
      </c>
      <c r="V24" s="26">
        <f>5917.5+1026.8</f>
        <v>6944.3</v>
      </c>
      <c r="W24" s="26">
        <f>136.5+41.8</f>
        <v>178.3</v>
      </c>
      <c r="X24" s="22">
        <v>2.3</v>
      </c>
      <c r="Y24" s="26"/>
      <c r="Z24" s="26"/>
      <c r="AA24" s="26"/>
      <c r="AB24" s="22"/>
      <c r="AC24" s="22"/>
      <c r="AD24" s="22"/>
      <c r="AE24" s="22"/>
      <c r="AF24" s="27">
        <f t="shared" si="1"/>
        <v>28832.8</v>
      </c>
      <c r="AG24" s="27">
        <f t="shared" si="3"/>
        <v>13939.999999999996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>
        <v>8916.4</v>
      </c>
      <c r="L25" s="66"/>
      <c r="M25" s="66">
        <v>666.5</v>
      </c>
      <c r="N25" s="66">
        <v>4</v>
      </c>
      <c r="O25" s="69">
        <v>4.4</v>
      </c>
      <c r="P25" s="66"/>
      <c r="Q25" s="69">
        <v>553.7</v>
      </c>
      <c r="R25" s="69">
        <v>2.8</v>
      </c>
      <c r="S25" s="68">
        <v>57.9</v>
      </c>
      <c r="T25" s="68">
        <v>1.7</v>
      </c>
      <c r="U25" s="68">
        <v>8101.6</v>
      </c>
      <c r="V25" s="68">
        <v>1026.8</v>
      </c>
      <c r="W25" s="68">
        <v>41.8</v>
      </c>
      <c r="X25" s="66">
        <v>2.3</v>
      </c>
      <c r="Y25" s="68"/>
      <c r="Z25" s="68"/>
      <c r="AA25" s="68"/>
      <c r="AB25" s="66"/>
      <c r="AC25" s="66"/>
      <c r="AD25" s="66"/>
      <c r="AE25" s="66"/>
      <c r="AF25" s="71">
        <f t="shared" si="1"/>
        <v>19789.899999999998</v>
      </c>
      <c r="AG25" s="71">
        <f t="shared" si="3"/>
        <v>191.70000000000437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26122.699999999997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9496.6</v>
      </c>
      <c r="L32" s="22">
        <f t="shared" si="5"/>
        <v>0</v>
      </c>
      <c r="M32" s="22">
        <f t="shared" si="5"/>
        <v>1114.5</v>
      </c>
      <c r="N32" s="22">
        <f t="shared" si="5"/>
        <v>79.8</v>
      </c>
      <c r="O32" s="22">
        <f t="shared" si="5"/>
        <v>4.4</v>
      </c>
      <c r="P32" s="22">
        <f t="shared" si="5"/>
        <v>0</v>
      </c>
      <c r="Q32" s="22">
        <f t="shared" si="5"/>
        <v>1702.2</v>
      </c>
      <c r="R32" s="22">
        <f t="shared" si="5"/>
        <v>2.8</v>
      </c>
      <c r="S32" s="22">
        <f t="shared" si="5"/>
        <v>57.9</v>
      </c>
      <c r="T32" s="22">
        <f t="shared" si="5"/>
        <v>1.7</v>
      </c>
      <c r="U32" s="22">
        <f t="shared" si="5"/>
        <v>8101.6</v>
      </c>
      <c r="V32" s="22">
        <f t="shared" si="5"/>
        <v>6944.3</v>
      </c>
      <c r="W32" s="22">
        <f t="shared" si="5"/>
        <v>178.3</v>
      </c>
      <c r="X32" s="22">
        <f t="shared" si="5"/>
        <v>2.3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28832.8</v>
      </c>
      <c r="AG32" s="27">
        <f>AG24</f>
        <v>13939.999999999996</v>
      </c>
    </row>
    <row r="33" spans="1:33" ht="15" customHeight="1">
      <c r="A33" s="77" t="s">
        <v>8</v>
      </c>
      <c r="B33" s="26">
        <f>268.2+500</f>
        <v>768.2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>
        <v>75.8</v>
      </c>
      <c r="L33" s="22"/>
      <c r="M33" s="22"/>
      <c r="N33" s="22"/>
      <c r="O33" s="27"/>
      <c r="P33" s="22"/>
      <c r="Q33" s="27"/>
      <c r="R33" s="22"/>
      <c r="S33" s="26"/>
      <c r="T33" s="26">
        <v>6</v>
      </c>
      <c r="U33" s="26">
        <f>0.7+459.2</f>
        <v>459.9</v>
      </c>
      <c r="V33" s="26">
        <v>157.2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701.8999999999999</v>
      </c>
      <c r="AG33" s="27">
        <f aca="true" t="shared" si="6" ref="AG33:AG38">B33+C33-AF33</f>
        <v>384.9000000000003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>
        <v>74.8</v>
      </c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157.2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232</v>
      </c>
      <c r="AG34" s="27">
        <f t="shared" si="6"/>
        <v>42.39999999999998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>
        <v>0.4</v>
      </c>
      <c r="L36" s="22"/>
      <c r="M36" s="22"/>
      <c r="N36" s="22"/>
      <c r="O36" s="27"/>
      <c r="P36" s="22"/>
      <c r="Q36" s="27"/>
      <c r="R36" s="22"/>
      <c r="S36" s="26"/>
      <c r="T36" s="26">
        <v>5.9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6.300000000000001</v>
      </c>
      <c r="AG36" s="27">
        <f t="shared" si="6"/>
        <v>41.2</v>
      </c>
    </row>
    <row r="37" spans="1:33" ht="15">
      <c r="A37" s="78" t="s">
        <v>16</v>
      </c>
      <c r="B37" s="26">
        <v>500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>
        <v>459.2</v>
      </c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459.2</v>
      </c>
      <c r="AG37" s="27">
        <f t="shared" si="6"/>
        <v>258.09999999999997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24.600000000000023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0.6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0.09999999999999964</v>
      </c>
      <c r="U39" s="22">
        <f t="shared" si="7"/>
        <v>0.6999999999999886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4.399999999999988</v>
      </c>
      <c r="AG39" s="27">
        <f>AG33-AG34-AG36-AG38-AG35-AG37</f>
        <v>36.5000000000004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>
        <v>320.2</v>
      </c>
      <c r="L40" s="22">
        <v>4.8</v>
      </c>
      <c r="M40" s="22"/>
      <c r="N40" s="22"/>
      <c r="O40" s="27"/>
      <c r="P40" s="22"/>
      <c r="Q40" s="27"/>
      <c r="R40" s="27"/>
      <c r="S40" s="26"/>
      <c r="T40" s="26"/>
      <c r="U40" s="26">
        <f>6.7+1.4</f>
        <v>8.1</v>
      </c>
      <c r="V40" s="26">
        <v>758.7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1117.1000000000001</v>
      </c>
      <c r="AG40" s="27">
        <f aca="true" t="shared" si="8" ref="AG40:AG45">B40+C40-AF40</f>
        <v>200.5999999999999</v>
      </c>
    </row>
    <row r="41" spans="1:34" ht="15">
      <c r="A41" s="78" t="s">
        <v>5</v>
      </c>
      <c r="B41" s="26">
        <v>863.1</v>
      </c>
      <c r="C41" s="26">
        <v>269.2</v>
      </c>
      <c r="D41" s="22"/>
      <c r="E41" s="22"/>
      <c r="F41" s="22"/>
      <c r="G41" s="22"/>
      <c r="H41" s="22"/>
      <c r="I41" s="22"/>
      <c r="J41" s="26"/>
      <c r="K41" s="22">
        <v>310.5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758.7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1069.2</v>
      </c>
      <c r="AG41" s="27">
        <f t="shared" si="8"/>
        <v>63.09999999999991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>
        <v>4.2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12.700000000000001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>
        <v>0.5</v>
      </c>
      <c r="L44" s="22"/>
      <c r="M44" s="22"/>
      <c r="N44" s="22"/>
      <c r="O44" s="27"/>
      <c r="P44" s="22"/>
      <c r="Q44" s="22"/>
      <c r="R44" s="22"/>
      <c r="S44" s="26"/>
      <c r="T44" s="26"/>
      <c r="U44" s="26">
        <v>6.7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7.9</v>
      </c>
      <c r="AG44" s="27">
        <f t="shared" si="8"/>
        <v>104.89999999999999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27.80000000000001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9.199999999999989</v>
      </c>
      <c r="L46" s="22">
        <f t="shared" si="10"/>
        <v>0.5999999999999996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1.3999999999999995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33.59999999999999</v>
      </c>
      <c r="AG46" s="27">
        <f>AG40-AG41-AG42-AG43-AG44-AG45</f>
        <v>19.599999999999994</v>
      </c>
    </row>
    <row r="47" spans="1:33" ht="17.25" customHeight="1">
      <c r="A47" s="77" t="s">
        <v>43</v>
      </c>
      <c r="B47" s="25">
        <f>923.2-1549.4+1000</f>
        <v>373.79999999999995</v>
      </c>
      <c r="C47" s="26">
        <v>1466.9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>
        <v>13</v>
      </c>
      <c r="L47" s="28">
        <v>5.8</v>
      </c>
      <c r="M47" s="28"/>
      <c r="N47" s="28">
        <v>21.2</v>
      </c>
      <c r="O47" s="31"/>
      <c r="P47" s="28">
        <v>10</v>
      </c>
      <c r="Q47" s="28"/>
      <c r="R47" s="28"/>
      <c r="S47" s="29">
        <v>44.3</v>
      </c>
      <c r="T47" s="29">
        <v>88.4</v>
      </c>
      <c r="U47" s="28">
        <v>15.9</v>
      </c>
      <c r="V47" s="28">
        <v>39.3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484.2</v>
      </c>
      <c r="AG47" s="27">
        <f>B47+C47-AF47</f>
        <v>1356.5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>
        <v>13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>
        <v>14.1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27.1</v>
      </c>
      <c r="AG48" s="27">
        <f>B48+C48-AF48</f>
        <v>36.099999999999994</v>
      </c>
    </row>
    <row r="49" spans="1:33" ht="15">
      <c r="A49" s="78" t="s">
        <v>16</v>
      </c>
      <c r="B49" s="26">
        <f>727.1-1376.8-0.1+900</f>
        <v>250.20000000000005</v>
      </c>
      <c r="C49" s="26">
        <f>2059-900</f>
        <v>1159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>
        <v>5.8</v>
      </c>
      <c r="M49" s="22"/>
      <c r="N49" s="22">
        <v>21.2</v>
      </c>
      <c r="O49" s="27"/>
      <c r="P49" s="22">
        <v>10</v>
      </c>
      <c r="Q49" s="22"/>
      <c r="R49" s="22"/>
      <c r="S49" s="26"/>
      <c r="T49" s="26">
        <v>66.2</v>
      </c>
      <c r="U49" s="22">
        <v>10.5</v>
      </c>
      <c r="V49" s="22">
        <v>10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342.6</v>
      </c>
      <c r="AG49" s="27">
        <f>B49+C49-AF49</f>
        <v>1066.6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86.2999999999999</v>
      </c>
      <c r="C51" s="26">
        <f t="shared" si="11"/>
        <v>282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44.3</v>
      </c>
      <c r="T51" s="22">
        <f t="shared" si="11"/>
        <v>22.200000000000003</v>
      </c>
      <c r="U51" s="22">
        <f t="shared" si="11"/>
        <v>5.4</v>
      </c>
      <c r="V51" s="22">
        <f t="shared" si="11"/>
        <v>15.199999999999996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114.5</v>
      </c>
      <c r="AG51" s="27">
        <f>AG47-AG49-AG48</f>
        <v>253.8000000000001</v>
      </c>
    </row>
    <row r="52" spans="1:33" ht="15" customHeight="1">
      <c r="A52" s="77" t="s">
        <v>0</v>
      </c>
      <c r="B52" s="26">
        <v>3449.8</v>
      </c>
      <c r="C52" s="26">
        <f>2169.8+0.2</f>
        <v>2170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>
        <v>543.9</v>
      </c>
      <c r="M52" s="22"/>
      <c r="N52" s="22">
        <v>34.3</v>
      </c>
      <c r="O52" s="27">
        <v>22</v>
      </c>
      <c r="P52" s="22">
        <v>4.8</v>
      </c>
      <c r="Q52" s="22">
        <v>57.2</v>
      </c>
      <c r="R52" s="22"/>
      <c r="S52" s="26">
        <v>260.6</v>
      </c>
      <c r="T52" s="26">
        <v>109.2</v>
      </c>
      <c r="U52" s="26"/>
      <c r="V52" s="26">
        <v>497.8</v>
      </c>
      <c r="W52" s="26">
        <v>138.3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3073.6</v>
      </c>
      <c r="AG52" s="27">
        <f aca="true" t="shared" si="12" ref="AG52:AG59">B52+C52-AF52</f>
        <v>2546.2000000000003</v>
      </c>
    </row>
    <row r="53" spans="1:33" ht="15" customHeight="1">
      <c r="A53" s="78" t="s">
        <v>2</v>
      </c>
      <c r="B53" s="26">
        <v>1196.9</v>
      </c>
      <c r="C53" s="26">
        <v>634.5</v>
      </c>
      <c r="D53" s="22"/>
      <c r="E53" s="22"/>
      <c r="F53" s="22"/>
      <c r="G53" s="22"/>
      <c r="H53" s="22"/>
      <c r="I53" s="22">
        <v>842.6</v>
      </c>
      <c r="J53" s="26"/>
      <c r="K53" s="22"/>
      <c r="L53" s="22">
        <v>39.7</v>
      </c>
      <c r="M53" s="22"/>
      <c r="N53" s="22"/>
      <c r="O53" s="27"/>
      <c r="P53" s="22"/>
      <c r="Q53" s="22"/>
      <c r="R53" s="22"/>
      <c r="S53" s="26"/>
      <c r="T53" s="26">
        <v>76.9</v>
      </c>
      <c r="U53" s="26"/>
      <c r="V53" s="26"/>
      <c r="W53" s="26">
        <v>138.3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1097.5</v>
      </c>
      <c r="AG53" s="27">
        <f t="shared" si="12"/>
        <v>733.9000000000001</v>
      </c>
    </row>
    <row r="54" spans="1:34" ht="15">
      <c r="A54" s="77" t="s">
        <v>9</v>
      </c>
      <c r="B54" s="80">
        <f>5259.9+221+9</f>
        <v>5489.9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>
        <v>2198.1</v>
      </c>
      <c r="L54" s="22"/>
      <c r="M54" s="22"/>
      <c r="N54" s="22">
        <v>39.8</v>
      </c>
      <c r="O54" s="27">
        <v>92.2</v>
      </c>
      <c r="P54" s="22">
        <v>59.9</v>
      </c>
      <c r="Q54" s="27">
        <v>54.3</v>
      </c>
      <c r="R54" s="22"/>
      <c r="S54" s="26">
        <v>0.8</v>
      </c>
      <c r="T54" s="26"/>
      <c r="U54" s="26"/>
      <c r="V54" s="26">
        <v>2147.1</v>
      </c>
      <c r="W54" s="26">
        <v>244.6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5074.1</v>
      </c>
      <c r="AG54" s="22">
        <f t="shared" si="12"/>
        <v>3926.3999999999996</v>
      </c>
      <c r="AH54" s="6"/>
    </row>
    <row r="55" spans="1:34" ht="15">
      <c r="A55" s="78" t="s">
        <v>5</v>
      </c>
      <c r="B55" s="26">
        <f>4274.7+9.2+9.1</f>
        <v>4293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>
        <v>2132.8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2045.9</v>
      </c>
      <c r="W55" s="26">
        <v>241.3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4424.500000000001</v>
      </c>
      <c r="AG55" s="22">
        <f t="shared" si="12"/>
        <v>2526.0999999999995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291.3+0.3</f>
        <v>291.6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>
        <v>3.1</v>
      </c>
      <c r="O57" s="27"/>
      <c r="P57" s="22">
        <v>1.1</v>
      </c>
      <c r="Q57" s="27"/>
      <c r="R57" s="22"/>
      <c r="S57" s="26"/>
      <c r="T57" s="26"/>
      <c r="U57" s="26"/>
      <c r="V57" s="26">
        <v>24.5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30.7</v>
      </c>
      <c r="AG57" s="22">
        <f t="shared" si="12"/>
        <v>531.7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>
        <v>3.3</v>
      </c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3.3</v>
      </c>
      <c r="AG58" s="22">
        <f t="shared" si="12"/>
        <v>1.7999999999999998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900.1999999999996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65.29999999999973</v>
      </c>
      <c r="L60" s="22">
        <f t="shared" si="13"/>
        <v>0</v>
      </c>
      <c r="M60" s="22">
        <f t="shared" si="13"/>
        <v>0</v>
      </c>
      <c r="N60" s="22">
        <f t="shared" si="13"/>
        <v>36.699999999999996</v>
      </c>
      <c r="O60" s="22">
        <f t="shared" si="13"/>
        <v>92.2</v>
      </c>
      <c r="P60" s="22">
        <f t="shared" si="13"/>
        <v>58.8</v>
      </c>
      <c r="Q60" s="22">
        <f>Q54-Q55-Q57-Q59-Q56-Q58</f>
        <v>54.3</v>
      </c>
      <c r="R60" s="22">
        <f t="shared" si="13"/>
        <v>0</v>
      </c>
      <c r="S60" s="22">
        <f t="shared" si="13"/>
        <v>0.8</v>
      </c>
      <c r="T60" s="22">
        <f t="shared" si="13"/>
        <v>0</v>
      </c>
      <c r="U60" s="22">
        <f t="shared" si="13"/>
        <v>0</v>
      </c>
      <c r="V60" s="22">
        <f t="shared" si="13"/>
        <v>76.69999999999982</v>
      </c>
      <c r="W60" s="22">
        <f t="shared" si="13"/>
        <v>-1.687538997430238E-14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615.5999999999995</v>
      </c>
      <c r="AG60" s="22">
        <f>AG54-AG55-AG57-AG59-AG56-AG58</f>
        <v>866.8000000000002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>
        <v>1.5</v>
      </c>
      <c r="P61" s="22"/>
      <c r="Q61" s="27"/>
      <c r="R61" s="22"/>
      <c r="S61" s="26"/>
      <c r="T61" s="26"/>
      <c r="U61" s="26"/>
      <c r="V61" s="26">
        <v>55.8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61.3</v>
      </c>
      <c r="AG61" s="22">
        <f aca="true" t="shared" si="15" ref="AG61:AG67">B61+C61-AF61</f>
        <v>713.8000000000001</v>
      </c>
    </row>
    <row r="62" spans="1:33" ht="15" customHeight="1">
      <c r="A62" s="77" t="s">
        <v>11</v>
      </c>
      <c r="B62" s="26">
        <f>1931.1+1058.8</f>
        <v>2989.8999999999996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>
        <v>499.4</v>
      </c>
      <c r="L62" s="22"/>
      <c r="M62" s="22">
        <v>127.5</v>
      </c>
      <c r="N62" s="22"/>
      <c r="O62" s="27">
        <v>67.9</v>
      </c>
      <c r="P62" s="22">
        <v>5.3</v>
      </c>
      <c r="Q62" s="27"/>
      <c r="R62" s="22">
        <v>29.4</v>
      </c>
      <c r="S62" s="26"/>
      <c r="T62" s="26">
        <v>1.1</v>
      </c>
      <c r="U62" s="26">
        <f>1.6+14.9+13.1+148.9+6.1+175</f>
        <v>359.6</v>
      </c>
      <c r="V62" s="26">
        <v>963.2</v>
      </c>
      <c r="W62" s="26">
        <v>55.9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2244.9</v>
      </c>
      <c r="AG62" s="22">
        <f t="shared" si="15"/>
        <v>1866.4999999999995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>
        <v>398.1</v>
      </c>
      <c r="L63" s="22"/>
      <c r="M63" s="22"/>
      <c r="N63" s="22"/>
      <c r="O63" s="27"/>
      <c r="P63" s="22">
        <v>5.3</v>
      </c>
      <c r="Q63" s="27"/>
      <c r="R63" s="22"/>
      <c r="S63" s="26"/>
      <c r="T63" s="26">
        <v>1.1</v>
      </c>
      <c r="U63" s="26"/>
      <c r="V63" s="26">
        <v>963.2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1376.7</v>
      </c>
      <c r="AG63" s="22">
        <f t="shared" si="15"/>
        <v>192.5999999999999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>
        <v>1.6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1.6</v>
      </c>
      <c r="AG64" s="22">
        <f t="shared" si="15"/>
        <v>4.9</v>
      </c>
      <c r="AH64" s="6"/>
    </row>
    <row r="65" spans="1:34" ht="15">
      <c r="A65" s="78" t="s">
        <v>1</v>
      </c>
      <c r="B65" s="26">
        <v>77.8</v>
      </c>
      <c r="C65" s="26">
        <f>147.4-2.6</f>
        <v>144.8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>
        <v>19.9</v>
      </c>
      <c r="N65" s="22"/>
      <c r="O65" s="27">
        <v>5.8</v>
      </c>
      <c r="P65" s="22"/>
      <c r="Q65" s="27"/>
      <c r="R65" s="22">
        <v>7.8</v>
      </c>
      <c r="S65" s="26"/>
      <c r="T65" s="26"/>
      <c r="U65" s="26">
        <v>14.9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87.5</v>
      </c>
      <c r="AG65" s="22">
        <f t="shared" si="15"/>
        <v>135.10000000000002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>
        <v>2.3</v>
      </c>
      <c r="N66" s="22"/>
      <c r="O66" s="27">
        <v>0.2</v>
      </c>
      <c r="P66" s="22"/>
      <c r="Q66" s="22"/>
      <c r="R66" s="22">
        <v>2</v>
      </c>
      <c r="S66" s="26"/>
      <c r="T66" s="26"/>
      <c r="U66" s="26">
        <v>13.1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19.5</v>
      </c>
      <c r="AG66" s="22">
        <f t="shared" si="15"/>
        <v>104.8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20.1</v>
      </c>
    </row>
    <row r="68" spans="1:33" ht="15">
      <c r="A68" s="78" t="s">
        <v>23</v>
      </c>
      <c r="B68" s="26">
        <f aca="true" t="shared" si="16" ref="B68:AD68">B62-B63-B66-B67-B65-B64</f>
        <v>1462.9999999999998</v>
      </c>
      <c r="C68" s="26">
        <f t="shared" si="16"/>
        <v>665.5999999999999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101.29999999999995</v>
      </c>
      <c r="L68" s="22">
        <f t="shared" si="16"/>
        <v>0</v>
      </c>
      <c r="M68" s="22">
        <f t="shared" si="16"/>
        <v>105.30000000000001</v>
      </c>
      <c r="N68" s="22">
        <f t="shared" si="16"/>
        <v>0</v>
      </c>
      <c r="O68" s="22">
        <f t="shared" si="16"/>
        <v>21.900000000000002</v>
      </c>
      <c r="P68" s="22">
        <f t="shared" si="16"/>
        <v>0</v>
      </c>
      <c r="Q68" s="22">
        <f t="shared" si="16"/>
        <v>0</v>
      </c>
      <c r="R68" s="22">
        <f t="shared" si="16"/>
        <v>19.599999999999998</v>
      </c>
      <c r="S68" s="22">
        <f t="shared" si="16"/>
        <v>0</v>
      </c>
      <c r="T68" s="22">
        <f t="shared" si="16"/>
        <v>0</v>
      </c>
      <c r="U68" s="22">
        <f t="shared" si="16"/>
        <v>330</v>
      </c>
      <c r="V68" s="22">
        <f t="shared" si="16"/>
        <v>0</v>
      </c>
      <c r="W68" s="22">
        <f t="shared" si="16"/>
        <v>55.1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719.6</v>
      </c>
      <c r="AG68" s="22">
        <f>AG62-AG63-AG66-AG67-AG65-AG64</f>
        <v>1408.9999999999995</v>
      </c>
    </row>
    <row r="69" spans="1:33" ht="30.75">
      <c r="A69" s="77" t="s">
        <v>46</v>
      </c>
      <c r="B69" s="26">
        <f>3772.7+100</f>
        <v>3872.7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>
        <v>1386.4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4693.700000000001</v>
      </c>
      <c r="AG69" s="30">
        <f aca="true" t="shared" si="17" ref="AG69:AG92">B69+C69-AF69</f>
        <v>801.5999999999985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>
        <v>651.7</v>
      </c>
      <c r="L71" s="28"/>
      <c r="M71" s="28"/>
      <c r="N71" s="28"/>
      <c r="O71" s="28"/>
      <c r="P71" s="28"/>
      <c r="Q71" s="31"/>
      <c r="R71" s="28"/>
      <c r="S71" s="29"/>
      <c r="T71" s="29"/>
      <c r="U71" s="29">
        <v>21.2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672.9000000000001</v>
      </c>
      <c r="AG71" s="30">
        <f t="shared" si="17"/>
        <v>131.4999999999999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789.4+158.2</f>
        <v>947.5999999999999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>
        <v>23.5</v>
      </c>
      <c r="L72" s="22">
        <v>27.1</v>
      </c>
      <c r="M72" s="22">
        <v>0.2</v>
      </c>
      <c r="N72" s="22">
        <v>81.4</v>
      </c>
      <c r="O72" s="22">
        <v>18.2</v>
      </c>
      <c r="P72" s="22">
        <v>49.2</v>
      </c>
      <c r="Q72" s="27">
        <v>1.5</v>
      </c>
      <c r="R72" s="22"/>
      <c r="S72" s="26">
        <v>3.2</v>
      </c>
      <c r="T72" s="26"/>
      <c r="U72" s="26">
        <f>237.4-21.2</f>
        <v>216.20000000000002</v>
      </c>
      <c r="V72" s="26">
        <v>4.8</v>
      </c>
      <c r="W72" s="26">
        <v>42.1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596.4999999999999</v>
      </c>
      <c r="AG72" s="30">
        <f t="shared" si="17"/>
        <v>4804.5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>
        <v>14.8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45.400000000000006</v>
      </c>
      <c r="AG74" s="30">
        <f t="shared" si="17"/>
        <v>1276.3999999999999</v>
      </c>
    </row>
    <row r="75" spans="1:33" ht="15" customHeight="1">
      <c r="A75" s="3" t="s">
        <v>16</v>
      </c>
      <c r="B75" s="22">
        <f>59.3-142.4</f>
        <v>-83.10000000000001</v>
      </c>
      <c r="C75" s="22">
        <v>332.7</v>
      </c>
      <c r="D75" s="22"/>
      <c r="E75" s="22"/>
      <c r="F75" s="22"/>
      <c r="G75" s="22"/>
      <c r="H75" s="22"/>
      <c r="I75" s="22"/>
      <c r="J75" s="26"/>
      <c r="K75" s="22">
        <v>23.5</v>
      </c>
      <c r="L75" s="22"/>
      <c r="M75" s="22"/>
      <c r="N75" s="22"/>
      <c r="O75" s="22"/>
      <c r="P75" s="22">
        <v>42.1</v>
      </c>
      <c r="Q75" s="27"/>
      <c r="R75" s="22"/>
      <c r="S75" s="26"/>
      <c r="T75" s="26"/>
      <c r="U75" s="26">
        <v>6.4</v>
      </c>
      <c r="V75" s="26"/>
      <c r="W75" s="26">
        <v>42.1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114.1</v>
      </c>
      <c r="AG75" s="30">
        <f t="shared" si="17"/>
        <v>135.49999999999997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>
        <v>50.5</v>
      </c>
      <c r="L76" s="28"/>
      <c r="M76" s="28"/>
      <c r="N76" s="28"/>
      <c r="O76" s="28">
        <v>8.2</v>
      </c>
      <c r="P76" s="28"/>
      <c r="Q76" s="31">
        <v>5.3</v>
      </c>
      <c r="R76" s="28"/>
      <c r="S76" s="29"/>
      <c r="T76" s="29"/>
      <c r="U76" s="28"/>
      <c r="V76" s="28">
        <v>54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118</v>
      </c>
      <c r="AG76" s="30">
        <f t="shared" si="17"/>
        <v>444.29999999999995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>
        <v>32.8</v>
      </c>
      <c r="L77" s="28"/>
      <c r="M77" s="28"/>
      <c r="N77" s="28"/>
      <c r="O77" s="28">
        <v>8.2</v>
      </c>
      <c r="P77" s="28"/>
      <c r="Q77" s="31"/>
      <c r="R77" s="28"/>
      <c r="S77" s="29"/>
      <c r="T77" s="29"/>
      <c r="U77" s="28"/>
      <c r="V77" s="28">
        <v>49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90</v>
      </c>
      <c r="AG77" s="30">
        <f t="shared" si="17"/>
        <v>2.799999999999997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0.4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8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21.2-1001</f>
        <v>-979.8</v>
      </c>
      <c r="C83" s="28">
        <v>1177.9</v>
      </c>
      <c r="D83" s="28"/>
      <c r="E83" s="28"/>
      <c r="F83" s="28"/>
      <c r="G83" s="28"/>
      <c r="H83" s="28"/>
      <c r="I83" s="28"/>
      <c r="J83" s="28"/>
      <c r="K83" s="28">
        <v>176.9</v>
      </c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176.9</v>
      </c>
      <c r="AG83" s="22">
        <f t="shared" si="17"/>
        <v>21.20000000000013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10512.7+399.1-2053.4</f>
        <v>8858.400000000001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>
        <v>153.6</v>
      </c>
      <c r="M89" s="22"/>
      <c r="N89" s="22"/>
      <c r="O89" s="22"/>
      <c r="P89" s="22"/>
      <c r="Q89" s="22"/>
      <c r="R89" s="22"/>
      <c r="S89" s="26"/>
      <c r="T89" s="26">
        <v>187.5</v>
      </c>
      <c r="U89" s="22"/>
      <c r="V89" s="22">
        <v>801.6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3122.2999999999997</v>
      </c>
      <c r="AG89" s="22">
        <f t="shared" si="17"/>
        <v>7995.200000000003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37694.4+1734.2+404.3+2053.4</f>
        <v>41886.3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>
        <v>3280.8</v>
      </c>
      <c r="M92" s="22">
        <v>2697.1</v>
      </c>
      <c r="N92" s="22">
        <v>3354.1</v>
      </c>
      <c r="O92" s="22">
        <v>922.4</v>
      </c>
      <c r="P92" s="22">
        <v>1022.2</v>
      </c>
      <c r="Q92" s="22">
        <v>500.7</v>
      </c>
      <c r="R92" s="22">
        <v>333.8</v>
      </c>
      <c r="S92" s="26">
        <v>1385.8</v>
      </c>
      <c r="T92" s="26">
        <f>1703.5+4841.4</f>
        <v>6544.9</v>
      </c>
      <c r="U92" s="22">
        <v>1532.3</v>
      </c>
      <c r="V92" s="22"/>
      <c r="W92" s="22"/>
      <c r="X92" s="26">
        <v>2049.1</v>
      </c>
      <c r="Y92" s="26"/>
      <c r="Z92" s="26"/>
      <c r="AA92" s="26"/>
      <c r="AB92" s="22"/>
      <c r="AC92" s="22"/>
      <c r="AD92" s="22"/>
      <c r="AE92" s="22"/>
      <c r="AF92" s="27">
        <f t="shared" si="14"/>
        <v>28263.8</v>
      </c>
      <c r="AG92" s="22">
        <f t="shared" si="17"/>
        <v>13827.400000000005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163517.40000000002</v>
      </c>
      <c r="C94" s="42">
        <f t="shared" si="18"/>
        <v>91465.7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22587.7</v>
      </c>
      <c r="L94" s="42">
        <f t="shared" si="18"/>
        <v>4971.9</v>
      </c>
      <c r="M94" s="42">
        <f t="shared" si="18"/>
        <v>4117.2</v>
      </c>
      <c r="N94" s="42">
        <f t="shared" si="18"/>
        <v>3696.5</v>
      </c>
      <c r="O94" s="42">
        <f t="shared" si="18"/>
        <v>1159.1</v>
      </c>
      <c r="P94" s="42">
        <f t="shared" si="18"/>
        <v>4032.2</v>
      </c>
      <c r="Q94" s="42">
        <f t="shared" si="18"/>
        <v>3872.9</v>
      </c>
      <c r="R94" s="42">
        <f t="shared" si="18"/>
        <v>1376.6</v>
      </c>
      <c r="S94" s="42">
        <f t="shared" si="18"/>
        <v>2278</v>
      </c>
      <c r="T94" s="42">
        <f t="shared" si="18"/>
        <v>7209.5</v>
      </c>
      <c r="U94" s="42">
        <f t="shared" si="18"/>
        <v>21325.9</v>
      </c>
      <c r="V94" s="42">
        <f t="shared" si="18"/>
        <v>34707.649999999994</v>
      </c>
      <c r="W94" s="42">
        <f t="shared" si="18"/>
        <v>1650.4999999999998</v>
      </c>
      <c r="X94" s="42">
        <f t="shared" si="18"/>
        <v>2870.7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144561.65</v>
      </c>
      <c r="AG94" s="58">
        <f>AG10+AG15+AG24+AG33+AG47+AG52+AG54+AG61+AG62+AG69+AG71+AG72+AG76+AG81+AG82+AG83+AG88+AG89+AG90+AG91+AG70+AG40+AG92</f>
        <v>110421.44999999997</v>
      </c>
    </row>
    <row r="95" spans="1:36" ht="15">
      <c r="A95" s="3" t="s">
        <v>5</v>
      </c>
      <c r="B95" s="22">
        <f aca="true" t="shared" si="19" ref="B95:AD95">B11+B17+B26+B34+B55+B63+B73+B41+B77+B48</f>
        <v>61564.09999999999</v>
      </c>
      <c r="C95" s="22">
        <f t="shared" si="19"/>
        <v>40418.69999999999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12024.6</v>
      </c>
      <c r="L95" s="22">
        <f t="shared" si="19"/>
        <v>856.5</v>
      </c>
      <c r="M95" s="22">
        <f t="shared" si="19"/>
        <v>0</v>
      </c>
      <c r="N95" s="22">
        <f t="shared" si="19"/>
        <v>3.1</v>
      </c>
      <c r="O95" s="22">
        <f t="shared" si="19"/>
        <v>21.5</v>
      </c>
      <c r="P95" s="22">
        <f t="shared" si="19"/>
        <v>79.8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1.1</v>
      </c>
      <c r="U95" s="22">
        <f t="shared" si="19"/>
        <v>10334.5</v>
      </c>
      <c r="V95" s="22">
        <f t="shared" si="19"/>
        <v>25259.100000000002</v>
      </c>
      <c r="W95" s="22">
        <f t="shared" si="19"/>
        <v>1166.2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61419.2</v>
      </c>
      <c r="AG95" s="27">
        <f>B95+C95-AF95</f>
        <v>40563.59999999999</v>
      </c>
      <c r="AI95" s="5"/>
      <c r="AJ95" s="6"/>
    </row>
    <row r="96" spans="1:36" ht="15">
      <c r="A96" s="3" t="s">
        <v>2</v>
      </c>
      <c r="B96" s="22">
        <f aca="true" t="shared" si="20" ref="B96:AD96">B12+B20+B29+B36+B57+B66+B44+B80+B74+B53</f>
        <v>2573</v>
      </c>
      <c r="C96" s="22">
        <f t="shared" si="20"/>
        <v>9730.300000000001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1.2</v>
      </c>
      <c r="L96" s="22">
        <f t="shared" si="20"/>
        <v>72.5</v>
      </c>
      <c r="M96" s="22">
        <f t="shared" si="20"/>
        <v>40.4</v>
      </c>
      <c r="N96" s="22">
        <f t="shared" si="20"/>
        <v>3.1</v>
      </c>
      <c r="O96" s="22">
        <f t="shared" si="20"/>
        <v>3.2</v>
      </c>
      <c r="P96" s="22">
        <f t="shared" si="20"/>
        <v>230</v>
      </c>
      <c r="Q96" s="22">
        <f t="shared" si="20"/>
        <v>67.9</v>
      </c>
      <c r="R96" s="22">
        <f t="shared" si="20"/>
        <v>38.5</v>
      </c>
      <c r="S96" s="22">
        <f t="shared" si="20"/>
        <v>416.7</v>
      </c>
      <c r="T96" s="22">
        <f t="shared" si="20"/>
        <v>128.7</v>
      </c>
      <c r="U96" s="22">
        <f t="shared" si="20"/>
        <v>80.3</v>
      </c>
      <c r="V96" s="22">
        <f t="shared" si="20"/>
        <v>95.5</v>
      </c>
      <c r="W96" s="22">
        <f t="shared" si="20"/>
        <v>138.3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2577.7000000000003</v>
      </c>
      <c r="AG96" s="27">
        <f>B96+C96-AF96</f>
        <v>9725.6</v>
      </c>
      <c r="AJ96" s="6"/>
    </row>
    <row r="97" spans="1:36" ht="15">
      <c r="A97" s="3" t="s">
        <v>3</v>
      </c>
      <c r="B97" s="22">
        <f aca="true" t="shared" si="21" ref="B97:AA97">B18+B27+B42+B64+B78</f>
        <v>11.2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3.3</v>
      </c>
      <c r="N97" s="22">
        <f t="shared" si="21"/>
        <v>0</v>
      </c>
      <c r="O97" s="22">
        <f t="shared" si="21"/>
        <v>0</v>
      </c>
      <c r="P97" s="22">
        <f t="shared" si="21"/>
        <v>2.6</v>
      </c>
      <c r="Q97" s="22">
        <f t="shared" si="21"/>
        <v>0.4</v>
      </c>
      <c r="R97" s="22">
        <f t="shared" si="21"/>
        <v>0.9</v>
      </c>
      <c r="S97" s="22">
        <f t="shared" si="21"/>
        <v>2.1</v>
      </c>
      <c r="T97" s="22">
        <f t="shared" si="21"/>
        <v>0.9</v>
      </c>
      <c r="U97" s="22">
        <f t="shared" si="21"/>
        <v>1.6</v>
      </c>
      <c r="V97" s="22">
        <f t="shared" si="21"/>
        <v>1.5</v>
      </c>
      <c r="W97" s="22">
        <f t="shared" si="21"/>
        <v>0.4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20.5</v>
      </c>
      <c r="AG97" s="27">
        <f>B97+C97-AF97</f>
        <v>43.7</v>
      </c>
      <c r="AJ97" s="6"/>
    </row>
    <row r="98" spans="1:36" ht="15">
      <c r="A98" s="3" t="s">
        <v>1</v>
      </c>
      <c r="B98" s="22">
        <f aca="true" t="shared" si="22" ref="B98:AD98">B19+B28+B65+B35+B43+B56+B79</f>
        <v>5544.6</v>
      </c>
      <c r="C98" s="22">
        <f t="shared" si="22"/>
        <v>800.8000000000001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61.900000000000006</v>
      </c>
      <c r="M98" s="22">
        <f t="shared" si="22"/>
        <v>94.19999999999999</v>
      </c>
      <c r="N98" s="22">
        <f t="shared" si="22"/>
        <v>0</v>
      </c>
      <c r="O98" s="22">
        <f t="shared" si="22"/>
        <v>5.8</v>
      </c>
      <c r="P98" s="22">
        <f t="shared" si="22"/>
        <v>214.2</v>
      </c>
      <c r="Q98" s="22">
        <f t="shared" si="22"/>
        <v>468.4</v>
      </c>
      <c r="R98" s="22">
        <f t="shared" si="22"/>
        <v>88.7</v>
      </c>
      <c r="S98" s="22">
        <f t="shared" si="22"/>
        <v>3.6</v>
      </c>
      <c r="T98" s="22">
        <f t="shared" si="22"/>
        <v>66.6</v>
      </c>
      <c r="U98" s="22">
        <f t="shared" si="22"/>
        <v>14.9</v>
      </c>
      <c r="V98" s="22">
        <f t="shared" si="22"/>
        <v>713.9</v>
      </c>
      <c r="W98" s="22">
        <f t="shared" si="22"/>
        <v>14.700000000000001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3483.7</v>
      </c>
      <c r="AG98" s="27">
        <f>B98+C98-AF98</f>
        <v>2861.7000000000007</v>
      </c>
      <c r="AJ98" s="6"/>
    </row>
    <row r="99" spans="1:36" ht="15">
      <c r="A99" s="3" t="s">
        <v>16</v>
      </c>
      <c r="B99" s="22">
        <f aca="true" t="shared" si="23" ref="B99:X99">B21+B30+B49+B37+B58+B13+B75+B67</f>
        <v>1836.1</v>
      </c>
      <c r="C99" s="22">
        <f t="shared" si="23"/>
        <v>2583.1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23.5</v>
      </c>
      <c r="L99" s="22">
        <f t="shared" si="23"/>
        <v>5.8</v>
      </c>
      <c r="M99" s="22">
        <f t="shared" si="23"/>
        <v>16.3</v>
      </c>
      <c r="N99" s="22">
        <f t="shared" si="23"/>
        <v>21.2</v>
      </c>
      <c r="O99" s="22">
        <f t="shared" si="23"/>
        <v>40</v>
      </c>
      <c r="P99" s="22">
        <f t="shared" si="23"/>
        <v>484.70000000000005</v>
      </c>
      <c r="Q99" s="22">
        <f t="shared" si="23"/>
        <v>0</v>
      </c>
      <c r="R99" s="22">
        <f t="shared" si="23"/>
        <v>755.4</v>
      </c>
      <c r="S99" s="22">
        <f t="shared" si="23"/>
        <v>0</v>
      </c>
      <c r="T99" s="22">
        <f t="shared" si="23"/>
        <v>66.2</v>
      </c>
      <c r="U99" s="22">
        <f t="shared" si="23"/>
        <v>476.09999999999997</v>
      </c>
      <c r="V99" s="22">
        <f t="shared" si="23"/>
        <v>10</v>
      </c>
      <c r="W99" s="22">
        <f t="shared" si="23"/>
        <v>45.4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2181.3</v>
      </c>
      <c r="AG99" s="27">
        <f>B99+C99-AF99</f>
        <v>2237.8999999999996</v>
      </c>
      <c r="AJ99" s="6"/>
    </row>
    <row r="100" spans="1:36" ht="13.5">
      <c r="A100" s="1" t="s">
        <v>35</v>
      </c>
      <c r="B100" s="2">
        <f aca="true" t="shared" si="25" ref="B100:AD100">B94-B95-B96-B97-B98-B99</f>
        <v>91988.40000000002</v>
      </c>
      <c r="C100" s="2">
        <f t="shared" si="25"/>
        <v>37879.8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10538.4</v>
      </c>
      <c r="L100" s="2">
        <f t="shared" si="25"/>
        <v>3975.1999999999994</v>
      </c>
      <c r="M100" s="2">
        <f t="shared" si="25"/>
        <v>3962.9999999999995</v>
      </c>
      <c r="N100" s="2">
        <f t="shared" si="25"/>
        <v>3669.1000000000004</v>
      </c>
      <c r="O100" s="2">
        <f t="shared" si="25"/>
        <v>1088.6</v>
      </c>
      <c r="P100" s="2">
        <f t="shared" si="25"/>
        <v>3020.8999999999996</v>
      </c>
      <c r="Q100" s="2">
        <f t="shared" si="25"/>
        <v>3336</v>
      </c>
      <c r="R100" s="2">
        <f t="shared" si="25"/>
        <v>493.0999999999998</v>
      </c>
      <c r="S100" s="2">
        <f t="shared" si="25"/>
        <v>1855.6000000000001</v>
      </c>
      <c r="T100" s="2">
        <f t="shared" si="25"/>
        <v>6946</v>
      </c>
      <c r="U100" s="2">
        <f t="shared" si="25"/>
        <v>10418.500000000002</v>
      </c>
      <c r="V100" s="2">
        <f t="shared" si="25"/>
        <v>8627.649999999992</v>
      </c>
      <c r="W100" s="2">
        <f t="shared" si="25"/>
        <v>285.4999999999998</v>
      </c>
      <c r="X100" s="2">
        <f t="shared" si="25"/>
        <v>2870.7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74879.25</v>
      </c>
      <c r="AG100" s="2">
        <f>AG94-AG95-AG96-AG97-AG98-AG99</f>
        <v>54988.949999999975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Y64" sqref="X64:Y6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24793.6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>
        <v>19296.6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C7+E7+M7-AF16-AF25</f>
        <v>21603.1</v>
      </c>
      <c r="AF7" s="72"/>
      <c r="AG7" s="48"/>
    </row>
    <row r="8" spans="1:55" ht="18" customHeight="1">
      <c r="A8" s="60" t="s">
        <v>30</v>
      </c>
      <c r="B8" s="40">
        <f>SUM(D8:AB8)</f>
        <v>134409.52000000002</v>
      </c>
      <c r="C8" s="40">
        <v>77095.25</v>
      </c>
      <c r="D8" s="43">
        <v>10846.2</v>
      </c>
      <c r="E8" s="55">
        <v>4419.3</v>
      </c>
      <c r="F8" s="55">
        <v>2279.7</v>
      </c>
      <c r="G8" s="55">
        <v>4435.2</v>
      </c>
      <c r="H8" s="55">
        <v>8218.7</v>
      </c>
      <c r="I8" s="55">
        <v>12720.97</v>
      </c>
      <c r="J8" s="56">
        <v>3176.9</v>
      </c>
      <c r="K8" s="55">
        <v>2975.1</v>
      </c>
      <c r="L8" s="55">
        <v>2699.7</v>
      </c>
      <c r="M8" s="55">
        <v>3092.9</v>
      </c>
      <c r="N8" s="55">
        <v>5940.5</v>
      </c>
      <c r="O8" s="55">
        <v>12568.3</v>
      </c>
      <c r="P8" s="55">
        <v>8106.3</v>
      </c>
      <c r="Q8" s="55">
        <v>9962.6</v>
      </c>
      <c r="R8" s="55">
        <v>6328.9</v>
      </c>
      <c r="S8" s="57">
        <v>3905.2</v>
      </c>
      <c r="T8" s="57">
        <v>4800.3</v>
      </c>
      <c r="U8" s="55">
        <v>3798.5</v>
      </c>
      <c r="V8" s="55">
        <v>2825.96</v>
      </c>
      <c r="W8" s="55">
        <v>4580.8</v>
      </c>
      <c r="X8" s="56">
        <v>5168.99</v>
      </c>
      <c r="Y8" s="56">
        <v>11558.5</v>
      </c>
      <c r="Z8" s="56"/>
      <c r="AA8" s="56"/>
      <c r="AB8" s="55"/>
      <c r="AC8" s="23"/>
      <c r="AD8" s="23"/>
      <c r="AE8" s="83">
        <f>B8+C8-AF9</f>
        <v>20903.669999999984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168254.1991</v>
      </c>
      <c r="C9" s="24">
        <f t="shared" si="0"/>
        <v>110056.24999999999</v>
      </c>
      <c r="D9" s="24">
        <f t="shared" si="0"/>
        <v>11052.900000000001</v>
      </c>
      <c r="E9" s="24">
        <f t="shared" si="0"/>
        <v>4444.4</v>
      </c>
      <c r="F9" s="24">
        <f t="shared" si="0"/>
        <v>2517.7</v>
      </c>
      <c r="G9" s="24">
        <f t="shared" si="0"/>
        <v>7631.4</v>
      </c>
      <c r="H9" s="24">
        <f>H10+H15+H24+H33+H47+H52+H54+H61+H62+H71+H72+H88+H76+H81+H83+H82+H69+H89+H90+H91+H70+H40+H92</f>
        <v>8241.2</v>
      </c>
      <c r="I9" s="24">
        <f t="shared" si="0"/>
        <v>12721</v>
      </c>
      <c r="J9" s="24">
        <f t="shared" si="0"/>
        <v>1814.5</v>
      </c>
      <c r="K9" s="24">
        <f t="shared" si="0"/>
        <v>5277.300000000001</v>
      </c>
      <c r="L9" s="24">
        <f t="shared" si="0"/>
        <v>32364.499999999996</v>
      </c>
      <c r="M9" s="24">
        <f t="shared" si="0"/>
        <v>10056.7</v>
      </c>
      <c r="N9" s="24">
        <f t="shared" si="0"/>
        <v>5940.5</v>
      </c>
      <c r="O9" s="24">
        <f t="shared" si="0"/>
        <v>11418.8</v>
      </c>
      <c r="P9" s="24">
        <f t="shared" si="0"/>
        <v>3279.8</v>
      </c>
      <c r="Q9" s="24">
        <f t="shared" si="0"/>
        <v>1071.3</v>
      </c>
      <c r="R9" s="24">
        <f t="shared" si="0"/>
        <v>3375.2</v>
      </c>
      <c r="S9" s="24">
        <f t="shared" si="0"/>
        <v>3850.6000000000004</v>
      </c>
      <c r="T9" s="24">
        <f t="shared" si="0"/>
        <v>2640.9</v>
      </c>
      <c r="U9" s="24">
        <f t="shared" si="0"/>
        <v>4399.6</v>
      </c>
      <c r="V9" s="24">
        <f t="shared" si="0"/>
        <v>30472.100000000006</v>
      </c>
      <c r="W9" s="24">
        <f t="shared" si="0"/>
        <v>25376.1</v>
      </c>
      <c r="X9" s="24">
        <f t="shared" si="0"/>
        <v>1915</v>
      </c>
      <c r="Y9" s="24">
        <f t="shared" si="0"/>
        <v>739.6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190601.10000000003</v>
      </c>
      <c r="AG9" s="50">
        <f>AG10+AG15+AG24+AG33+AG47+AG52+AG54+AG61+AG62+AG71+AG72+AG76+AG88+AG81+AG83+AG82+AG69+AG89+AG91+AG90+AG70+AG40+AG92</f>
        <v>87709.34909999999</v>
      </c>
      <c r="AH9" s="49"/>
      <c r="AI9" s="49"/>
    </row>
    <row r="10" spans="1:33" s="87" customFormat="1" ht="15">
      <c r="A10" s="84" t="s">
        <v>4</v>
      </c>
      <c r="B10" s="85">
        <f>12328.9821-100.4</f>
        <v>12228.5821</v>
      </c>
      <c r="C10" s="85">
        <v>13817.999999999996</v>
      </c>
      <c r="D10" s="85"/>
      <c r="E10" s="85">
        <v>20.4</v>
      </c>
      <c r="F10" s="85">
        <v>142.9</v>
      </c>
      <c r="G10" s="85">
        <v>6.7</v>
      </c>
      <c r="H10" s="85">
        <v>34.3</v>
      </c>
      <c r="I10" s="85">
        <v>97.6</v>
      </c>
      <c r="J10" s="86">
        <v>166.4</v>
      </c>
      <c r="K10" s="85">
        <v>5</v>
      </c>
      <c r="L10" s="85">
        <v>4217.5</v>
      </c>
      <c r="M10" s="85">
        <v>1358.5</v>
      </c>
      <c r="N10" s="85">
        <v>294.4</v>
      </c>
      <c r="O10" s="85">
        <v>10.8</v>
      </c>
      <c r="P10" s="85">
        <v>47.5</v>
      </c>
      <c r="Q10" s="85">
        <v>12.2</v>
      </c>
      <c r="R10" s="85">
        <v>73.7</v>
      </c>
      <c r="S10" s="85">
        <v>40.8</v>
      </c>
      <c r="T10" s="85">
        <v>9.2</v>
      </c>
      <c r="U10" s="85">
        <v>78.7</v>
      </c>
      <c r="V10" s="85">
        <v>1446.7</v>
      </c>
      <c r="W10" s="85">
        <v>8107.4</v>
      </c>
      <c r="X10" s="85">
        <v>252.8</v>
      </c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16423.5</v>
      </c>
      <c r="AG10" s="85">
        <f>B10+C10-AF10</f>
        <v>9623.082099999996</v>
      </c>
    </row>
    <row r="11" spans="1:33" s="87" customFormat="1" ht="15">
      <c r="A11" s="88" t="s">
        <v>5</v>
      </c>
      <c r="B11" s="86">
        <f>11255.3-170.4</f>
        <v>11084.9</v>
      </c>
      <c r="C11" s="85">
        <v>11514.3</v>
      </c>
      <c r="D11" s="85"/>
      <c r="E11" s="85"/>
      <c r="F11" s="85">
        <v>60.3</v>
      </c>
      <c r="G11" s="85"/>
      <c r="H11" s="85">
        <v>16.4</v>
      </c>
      <c r="I11" s="85"/>
      <c r="J11" s="85">
        <v>136.1</v>
      </c>
      <c r="K11" s="85"/>
      <c r="L11" s="85">
        <v>4202.9</v>
      </c>
      <c r="M11" s="85">
        <v>1354</v>
      </c>
      <c r="N11" s="85">
        <v>6</v>
      </c>
      <c r="O11" s="85">
        <v>6.6</v>
      </c>
      <c r="P11" s="85"/>
      <c r="Q11" s="85"/>
      <c r="R11" s="85">
        <v>69.1</v>
      </c>
      <c r="S11" s="85">
        <v>9.2</v>
      </c>
      <c r="T11" s="85"/>
      <c r="U11" s="85"/>
      <c r="V11" s="85">
        <v>1283.8</v>
      </c>
      <c r="W11" s="85">
        <v>8040.9</v>
      </c>
      <c r="X11" s="85">
        <v>6.2</v>
      </c>
      <c r="Y11" s="85"/>
      <c r="Z11" s="85"/>
      <c r="AA11" s="85"/>
      <c r="AB11" s="85"/>
      <c r="AC11" s="85"/>
      <c r="AD11" s="85"/>
      <c r="AE11" s="85"/>
      <c r="AF11" s="85">
        <f t="shared" si="1"/>
        <v>15191.5</v>
      </c>
      <c r="AG11" s="85">
        <f>B11+C11-AF11</f>
        <v>7407.699999999997</v>
      </c>
    </row>
    <row r="12" spans="1:33" s="87" customFormat="1" ht="15">
      <c r="A12" s="88" t="s">
        <v>2</v>
      </c>
      <c r="B12" s="86">
        <f>575.8-3.2</f>
        <v>572.5999999999999</v>
      </c>
      <c r="C12" s="85">
        <v>171.60000000000002</v>
      </c>
      <c r="D12" s="85"/>
      <c r="E12" s="85"/>
      <c r="F12" s="85">
        <v>27.6</v>
      </c>
      <c r="G12" s="85"/>
      <c r="H12" s="85">
        <v>1.9</v>
      </c>
      <c r="I12" s="85">
        <v>44.7</v>
      </c>
      <c r="J12" s="85"/>
      <c r="K12" s="85"/>
      <c r="L12" s="85"/>
      <c r="M12" s="85"/>
      <c r="N12" s="85">
        <v>0.9</v>
      </c>
      <c r="O12" s="85"/>
      <c r="P12" s="85"/>
      <c r="Q12" s="85"/>
      <c r="R12" s="85"/>
      <c r="S12" s="85"/>
      <c r="T12" s="85"/>
      <c r="U12" s="85"/>
      <c r="V12" s="85">
        <v>56.3</v>
      </c>
      <c r="W12" s="85"/>
      <c r="X12" s="85">
        <v>197.4</v>
      </c>
      <c r="Y12" s="85"/>
      <c r="Z12" s="85"/>
      <c r="AA12" s="85"/>
      <c r="AB12" s="85"/>
      <c r="AC12" s="85"/>
      <c r="AD12" s="85"/>
      <c r="AE12" s="85"/>
      <c r="AF12" s="85">
        <f t="shared" si="1"/>
        <v>328.8</v>
      </c>
      <c r="AG12" s="85">
        <f>B12+C12-AF12</f>
        <v>415.3999999999999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571.0821000000001</v>
      </c>
      <c r="C14" s="85">
        <f>C10-C11-C12</f>
        <v>2132.099999999997</v>
      </c>
      <c r="D14" s="85">
        <f aca="true" t="shared" si="2" ref="D14:AD14">D10-D11-D12</f>
        <v>0</v>
      </c>
      <c r="E14" s="85">
        <f t="shared" si="2"/>
        <v>20.4</v>
      </c>
      <c r="F14" s="85">
        <f t="shared" si="2"/>
        <v>55.00000000000001</v>
      </c>
      <c r="G14" s="85">
        <f t="shared" si="2"/>
        <v>6.7</v>
      </c>
      <c r="H14" s="85">
        <f t="shared" si="2"/>
        <v>15.999999999999998</v>
      </c>
      <c r="I14" s="85">
        <f t="shared" si="2"/>
        <v>52.89999999999999</v>
      </c>
      <c r="J14" s="85">
        <f t="shared" si="2"/>
        <v>30.30000000000001</v>
      </c>
      <c r="K14" s="85">
        <f t="shared" si="2"/>
        <v>5</v>
      </c>
      <c r="L14" s="85">
        <f t="shared" si="2"/>
        <v>14.600000000000364</v>
      </c>
      <c r="M14" s="85">
        <f t="shared" si="2"/>
        <v>4.5</v>
      </c>
      <c r="N14" s="85">
        <f t="shared" si="2"/>
        <v>287.5</v>
      </c>
      <c r="O14" s="85">
        <f t="shared" si="2"/>
        <v>4.200000000000001</v>
      </c>
      <c r="P14" s="85">
        <f t="shared" si="2"/>
        <v>47.5</v>
      </c>
      <c r="Q14" s="85">
        <f t="shared" si="2"/>
        <v>12.2</v>
      </c>
      <c r="R14" s="85">
        <f t="shared" si="2"/>
        <v>4.6000000000000085</v>
      </c>
      <c r="S14" s="85">
        <f t="shared" si="2"/>
        <v>31.599999999999998</v>
      </c>
      <c r="T14" s="85">
        <f t="shared" si="2"/>
        <v>9.2</v>
      </c>
      <c r="U14" s="85">
        <f t="shared" si="2"/>
        <v>78.7</v>
      </c>
      <c r="V14" s="85">
        <f t="shared" si="2"/>
        <v>106.6000000000001</v>
      </c>
      <c r="W14" s="85">
        <f t="shared" si="2"/>
        <v>66.5</v>
      </c>
      <c r="X14" s="85">
        <f t="shared" si="2"/>
        <v>49.20000000000002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903.2000000000007</v>
      </c>
      <c r="AG14" s="85">
        <f>AG10-AG11-AG12-AG13</f>
        <v>1799.982099999999</v>
      </c>
    </row>
    <row r="15" spans="1:33" s="87" customFormat="1" ht="15" customHeight="1">
      <c r="A15" s="84" t="s">
        <v>6</v>
      </c>
      <c r="B15" s="89">
        <f>56472.7-1537.8</f>
        <v>54934.899999999994</v>
      </c>
      <c r="C15" s="85">
        <f>42680.25+33.6</f>
        <v>42713.85</v>
      </c>
      <c r="D15" s="90"/>
      <c r="E15" s="90">
        <v>13.4</v>
      </c>
      <c r="F15" s="85">
        <v>113.1</v>
      </c>
      <c r="G15" s="85">
        <v>1351.9</v>
      </c>
      <c r="H15" s="85">
        <v>1646.1</v>
      </c>
      <c r="I15" s="85"/>
      <c r="J15" s="85">
        <v>174</v>
      </c>
      <c r="K15" s="85">
        <v>1854.3</v>
      </c>
      <c r="L15" s="85">
        <f>11637.9+11348.9</f>
        <v>22986.8</v>
      </c>
      <c r="M15" s="85">
        <v>382.3</v>
      </c>
      <c r="N15" s="85"/>
      <c r="O15" s="85">
        <v>881.6</v>
      </c>
      <c r="P15" s="85">
        <v>979.5</v>
      </c>
      <c r="Q15" s="85">
        <v>0.2</v>
      </c>
      <c r="R15" s="85">
        <v>1011.8</v>
      </c>
      <c r="S15" s="85">
        <v>146.3</v>
      </c>
      <c r="T15" s="85">
        <v>1940.7</v>
      </c>
      <c r="U15" s="85">
        <v>1800.5</v>
      </c>
      <c r="V15" s="85">
        <f>14802.7+10447.7</f>
        <v>25250.4</v>
      </c>
      <c r="W15" s="85">
        <v>2394.7</v>
      </c>
      <c r="X15" s="85">
        <v>50.9</v>
      </c>
      <c r="Y15" s="85">
        <v>5.5</v>
      </c>
      <c r="Z15" s="85"/>
      <c r="AA15" s="85"/>
      <c r="AB15" s="85"/>
      <c r="AC15" s="85"/>
      <c r="AD15" s="85"/>
      <c r="AE15" s="85"/>
      <c r="AF15" s="85">
        <f t="shared" si="1"/>
        <v>62983.99999999999</v>
      </c>
      <c r="AG15" s="85">
        <f>B15+C15-AF15</f>
        <v>34664.75000000001</v>
      </c>
    </row>
    <row r="16" spans="1:34" s="96" customFormat="1" ht="15" customHeight="1">
      <c r="A16" s="91" t="s">
        <v>38</v>
      </c>
      <c r="B16" s="92">
        <v>18736.8</v>
      </c>
      <c r="C16" s="93">
        <f>18982.3-0.1</f>
        <v>18982.2</v>
      </c>
      <c r="D16" s="94"/>
      <c r="E16" s="94"/>
      <c r="F16" s="93"/>
      <c r="G16" s="93"/>
      <c r="H16" s="93"/>
      <c r="I16" s="93"/>
      <c r="J16" s="93"/>
      <c r="K16" s="93"/>
      <c r="L16" s="93">
        <v>11348.9</v>
      </c>
      <c r="M16" s="93"/>
      <c r="N16" s="93"/>
      <c r="O16" s="93"/>
      <c r="P16" s="93"/>
      <c r="Q16" s="93"/>
      <c r="R16" s="93"/>
      <c r="S16" s="93"/>
      <c r="T16" s="93"/>
      <c r="U16" s="93"/>
      <c r="V16" s="93">
        <v>10447.7</v>
      </c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21796.6</v>
      </c>
      <c r="AG16" s="94">
        <f aca="true" t="shared" si="3" ref="AG16:AG31">B16+C16-AF16</f>
        <v>15922.400000000001</v>
      </c>
      <c r="AH16" s="95"/>
    </row>
    <row r="17" spans="1:34" s="87" customFormat="1" ht="15">
      <c r="A17" s="88" t="s">
        <v>5</v>
      </c>
      <c r="B17" s="89">
        <f>42277.1-2608.1</f>
        <v>39669</v>
      </c>
      <c r="C17" s="85">
        <f>26186+52.2</f>
        <v>26238.2</v>
      </c>
      <c r="D17" s="85"/>
      <c r="E17" s="85">
        <v>13.4</v>
      </c>
      <c r="F17" s="85"/>
      <c r="G17" s="85"/>
      <c r="H17" s="85"/>
      <c r="I17" s="85"/>
      <c r="J17" s="85"/>
      <c r="K17" s="85"/>
      <c r="L17" s="85">
        <f>11348.9+10678.3</f>
        <v>22027.199999999997</v>
      </c>
      <c r="M17" s="85"/>
      <c r="N17" s="85"/>
      <c r="O17" s="85"/>
      <c r="P17" s="85"/>
      <c r="Q17" s="85"/>
      <c r="R17" s="85"/>
      <c r="S17" s="85"/>
      <c r="T17" s="85"/>
      <c r="U17" s="85"/>
      <c r="V17" s="85">
        <f>13397.3+10447.7</f>
        <v>23845</v>
      </c>
      <c r="W17" s="85">
        <v>2</v>
      </c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45887.6</v>
      </c>
      <c r="AG17" s="85">
        <f t="shared" si="3"/>
        <v>20019.6</v>
      </c>
      <c r="AH17" s="97"/>
    </row>
    <row r="18" spans="1:35" s="87" customFormat="1" ht="15">
      <c r="A18" s="88" t="s">
        <v>3</v>
      </c>
      <c r="B18" s="89">
        <v>1</v>
      </c>
      <c r="C18" s="85">
        <v>38.5</v>
      </c>
      <c r="D18" s="85"/>
      <c r="E18" s="85"/>
      <c r="F18" s="85"/>
      <c r="G18" s="85"/>
      <c r="H18" s="85"/>
      <c r="I18" s="85"/>
      <c r="J18" s="85"/>
      <c r="K18" s="85">
        <v>3.7</v>
      </c>
      <c r="L18" s="85"/>
      <c r="M18" s="85"/>
      <c r="N18" s="85"/>
      <c r="O18" s="85">
        <v>4.5</v>
      </c>
      <c r="P18" s="85">
        <v>1.4</v>
      </c>
      <c r="Q18" s="85"/>
      <c r="R18" s="85"/>
      <c r="S18" s="85"/>
      <c r="T18" s="85">
        <v>0.9</v>
      </c>
      <c r="U18" s="85">
        <v>0.7</v>
      </c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11.2</v>
      </c>
      <c r="AG18" s="85">
        <f t="shared" si="3"/>
        <v>28.3</v>
      </c>
      <c r="AH18" s="97"/>
      <c r="AI18" s="97"/>
    </row>
    <row r="19" spans="1:33" s="87" customFormat="1" ht="15">
      <c r="A19" s="88" t="s">
        <v>1</v>
      </c>
      <c r="B19" s="89">
        <f>1582.2+1787.1</f>
        <v>3369.3</v>
      </c>
      <c r="C19" s="85">
        <f>2707.2-6.9</f>
        <v>2700.2999999999997</v>
      </c>
      <c r="D19" s="85"/>
      <c r="E19" s="85"/>
      <c r="F19" s="85"/>
      <c r="G19" s="85">
        <v>778.5</v>
      </c>
      <c r="H19" s="85">
        <v>209.7</v>
      </c>
      <c r="I19" s="85"/>
      <c r="J19" s="85"/>
      <c r="K19" s="85">
        <v>676.3</v>
      </c>
      <c r="L19" s="85">
        <v>68</v>
      </c>
      <c r="M19" s="85">
        <v>364.5</v>
      </c>
      <c r="N19" s="85"/>
      <c r="O19" s="85">
        <v>359.3</v>
      </c>
      <c r="P19" s="85">
        <v>185.7</v>
      </c>
      <c r="Q19" s="85">
        <v>0.2</v>
      </c>
      <c r="R19" s="85">
        <v>170.9</v>
      </c>
      <c r="S19" s="85">
        <v>146.3</v>
      </c>
      <c r="T19" s="85">
        <v>459.9</v>
      </c>
      <c r="U19" s="85">
        <v>131.1</v>
      </c>
      <c r="V19" s="85">
        <v>136</v>
      </c>
      <c r="W19" s="85">
        <v>203.6</v>
      </c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3890</v>
      </c>
      <c r="AG19" s="85">
        <f t="shared" si="3"/>
        <v>2179.6000000000004</v>
      </c>
    </row>
    <row r="20" spans="1:33" s="87" customFormat="1" ht="15">
      <c r="A20" s="88" t="s">
        <v>2</v>
      </c>
      <c r="B20" s="85">
        <v>10319.300000000003</v>
      </c>
      <c r="C20" s="85">
        <f>6753.1-49.2</f>
        <v>6703.900000000001</v>
      </c>
      <c r="D20" s="85"/>
      <c r="E20" s="85"/>
      <c r="F20" s="85"/>
      <c r="G20" s="85">
        <v>239</v>
      </c>
      <c r="H20" s="85">
        <v>1280.9</v>
      </c>
      <c r="I20" s="85"/>
      <c r="J20" s="85">
        <v>34.3</v>
      </c>
      <c r="K20" s="85">
        <v>1008</v>
      </c>
      <c r="L20" s="85">
        <v>852.2</v>
      </c>
      <c r="M20" s="85"/>
      <c r="N20" s="85"/>
      <c r="O20" s="85">
        <v>87.3</v>
      </c>
      <c r="P20" s="85">
        <v>347.5</v>
      </c>
      <c r="Q20" s="85"/>
      <c r="R20" s="85">
        <v>543.8</v>
      </c>
      <c r="S20" s="85"/>
      <c r="T20" s="85">
        <v>551.1</v>
      </c>
      <c r="U20" s="85">
        <v>713.2</v>
      </c>
      <c r="V20" s="85">
        <v>1023.4</v>
      </c>
      <c r="W20" s="85">
        <v>1622.3</v>
      </c>
      <c r="X20" s="85">
        <v>26.7</v>
      </c>
      <c r="Y20" s="85">
        <v>5.5</v>
      </c>
      <c r="Z20" s="85"/>
      <c r="AA20" s="85"/>
      <c r="AB20" s="85"/>
      <c r="AC20" s="85"/>
      <c r="AD20" s="85"/>
      <c r="AE20" s="85"/>
      <c r="AF20" s="85">
        <f t="shared" si="1"/>
        <v>8335.2</v>
      </c>
      <c r="AG20" s="85">
        <f t="shared" si="3"/>
        <v>8688.000000000004</v>
      </c>
    </row>
    <row r="21" spans="1:33" s="87" customFormat="1" ht="15">
      <c r="A21" s="88" t="s">
        <v>16</v>
      </c>
      <c r="B21" s="85">
        <f>1331.7-800</f>
        <v>531.7</v>
      </c>
      <c r="C21" s="85">
        <f>755.8+0.2</f>
        <v>756</v>
      </c>
      <c r="D21" s="85"/>
      <c r="E21" s="85"/>
      <c r="F21" s="85"/>
      <c r="G21" s="85">
        <v>1.8</v>
      </c>
      <c r="H21" s="85"/>
      <c r="I21" s="85"/>
      <c r="J21" s="85"/>
      <c r="K21" s="85">
        <v>1.2</v>
      </c>
      <c r="L21" s="85">
        <v>7.6</v>
      </c>
      <c r="M21" s="85"/>
      <c r="N21" s="85"/>
      <c r="O21" s="85">
        <v>338.3</v>
      </c>
      <c r="P21" s="85"/>
      <c r="Q21" s="85"/>
      <c r="R21" s="85">
        <v>150.5</v>
      </c>
      <c r="S21" s="85"/>
      <c r="T21" s="85"/>
      <c r="U21" s="85">
        <v>547.3</v>
      </c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1046.7</v>
      </c>
      <c r="AG21" s="85">
        <f t="shared" si="3"/>
        <v>241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1044.599999999992</v>
      </c>
      <c r="C23" s="85">
        <f t="shared" si="4"/>
        <v>6276.949999999998</v>
      </c>
      <c r="D23" s="85">
        <f t="shared" si="4"/>
        <v>0</v>
      </c>
      <c r="E23" s="85">
        <f t="shared" si="4"/>
        <v>0</v>
      </c>
      <c r="F23" s="85">
        <f t="shared" si="4"/>
        <v>113.1</v>
      </c>
      <c r="G23" s="85">
        <f t="shared" si="4"/>
        <v>332.6000000000001</v>
      </c>
      <c r="H23" s="85">
        <f t="shared" si="4"/>
        <v>155.49999999999977</v>
      </c>
      <c r="I23" s="85">
        <f t="shared" si="4"/>
        <v>0</v>
      </c>
      <c r="J23" s="85">
        <f t="shared" si="4"/>
        <v>139.7</v>
      </c>
      <c r="K23" s="85">
        <f t="shared" si="4"/>
        <v>165.09999999999997</v>
      </c>
      <c r="L23" s="85">
        <f t="shared" si="4"/>
        <v>31.800000000002136</v>
      </c>
      <c r="M23" s="85">
        <f t="shared" si="4"/>
        <v>17.80000000000001</v>
      </c>
      <c r="N23" s="85">
        <f t="shared" si="4"/>
        <v>0</v>
      </c>
      <c r="O23" s="85">
        <f t="shared" si="4"/>
        <v>92.19999999999993</v>
      </c>
      <c r="P23" s="85">
        <f t="shared" si="4"/>
        <v>444.9000000000001</v>
      </c>
      <c r="Q23" s="85">
        <f t="shared" si="4"/>
        <v>0</v>
      </c>
      <c r="R23" s="85">
        <f t="shared" si="4"/>
        <v>146.60000000000002</v>
      </c>
      <c r="S23" s="85">
        <f t="shared" si="4"/>
        <v>0</v>
      </c>
      <c r="T23" s="85">
        <f t="shared" si="4"/>
        <v>928.8000000000001</v>
      </c>
      <c r="U23" s="85">
        <f t="shared" si="4"/>
        <v>408.20000000000005</v>
      </c>
      <c r="V23" s="85">
        <f t="shared" si="4"/>
        <v>246.00000000000148</v>
      </c>
      <c r="W23" s="85">
        <f t="shared" si="4"/>
        <v>566.8</v>
      </c>
      <c r="X23" s="85">
        <f t="shared" si="4"/>
        <v>24.2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3813.300000000003</v>
      </c>
      <c r="AG23" s="85">
        <f t="shared" si="3"/>
        <v>3508.2499999999873</v>
      </c>
    </row>
    <row r="24" spans="1:36" s="87" customFormat="1" ht="15" customHeight="1">
      <c r="A24" s="84" t="s">
        <v>7</v>
      </c>
      <c r="B24" s="85">
        <f>29397.9+2823.9</f>
        <v>32221.800000000003</v>
      </c>
      <c r="C24" s="85">
        <v>13939.999999999996</v>
      </c>
      <c r="D24" s="85"/>
      <c r="E24" s="85">
        <v>25</v>
      </c>
      <c r="F24" s="85">
        <f>118+238.1</f>
        <v>356.1</v>
      </c>
      <c r="G24" s="85">
        <f>9.7+8.6</f>
        <v>18.299999999999997</v>
      </c>
      <c r="H24" s="85">
        <v>22.6</v>
      </c>
      <c r="I24" s="85"/>
      <c r="J24" s="85"/>
      <c r="K24" s="85">
        <f>1800.6+607.4</f>
        <v>2408</v>
      </c>
      <c r="L24" s="85">
        <v>4600.9</v>
      </c>
      <c r="M24" s="85">
        <f>509.5+4391</f>
        <v>4900.5</v>
      </c>
      <c r="N24" s="85"/>
      <c r="O24" s="85"/>
      <c r="P24" s="85">
        <f>1167.9+967.6</f>
        <v>2135.5</v>
      </c>
      <c r="Q24" s="85">
        <v>0.1</v>
      </c>
      <c r="R24" s="85">
        <f>79+81.2</f>
        <v>160.2</v>
      </c>
      <c r="S24" s="85"/>
      <c r="T24" s="85">
        <v>7.4</v>
      </c>
      <c r="U24" s="85">
        <f>1273.9+704.5</f>
        <v>1978.4</v>
      </c>
      <c r="V24" s="85">
        <f>509.2+2728</f>
        <v>3237.2</v>
      </c>
      <c r="W24" s="85">
        <f>6442.1+5604.8</f>
        <v>12046.900000000001</v>
      </c>
      <c r="X24" s="85"/>
      <c r="Y24" s="85">
        <v>-85</v>
      </c>
      <c r="Z24" s="85"/>
      <c r="AA24" s="85"/>
      <c r="AB24" s="85"/>
      <c r="AC24" s="85"/>
      <c r="AD24" s="85"/>
      <c r="AE24" s="85"/>
      <c r="AF24" s="85">
        <f t="shared" si="1"/>
        <v>31812.100000000002</v>
      </c>
      <c r="AG24" s="85">
        <f t="shared" si="3"/>
        <v>14349.7</v>
      </c>
      <c r="AJ24" s="97"/>
    </row>
    <row r="25" spans="1:34" s="96" customFormat="1" ht="15" customHeight="1">
      <c r="A25" s="91" t="s">
        <v>39</v>
      </c>
      <c r="B25" s="93">
        <v>19856.4</v>
      </c>
      <c r="C25" s="93">
        <f>191.7-0.2</f>
        <v>191.5</v>
      </c>
      <c r="D25" s="93"/>
      <c r="E25" s="93">
        <v>25</v>
      </c>
      <c r="F25" s="93">
        <v>238.1</v>
      </c>
      <c r="G25" s="93">
        <v>8.6</v>
      </c>
      <c r="H25" s="93">
        <v>22.6</v>
      </c>
      <c r="I25" s="93"/>
      <c r="J25" s="93"/>
      <c r="K25" s="93">
        <v>607.4</v>
      </c>
      <c r="L25" s="93">
        <v>4600.9</v>
      </c>
      <c r="M25" s="93">
        <v>4391</v>
      </c>
      <c r="N25" s="93"/>
      <c r="O25" s="93"/>
      <c r="P25" s="93">
        <v>967.6</v>
      </c>
      <c r="Q25" s="93"/>
      <c r="R25" s="93">
        <v>81.2</v>
      </c>
      <c r="S25" s="93"/>
      <c r="T25" s="93">
        <v>7.4</v>
      </c>
      <c r="U25" s="93">
        <v>704.5</v>
      </c>
      <c r="V25" s="93">
        <v>2728</v>
      </c>
      <c r="W25" s="93">
        <v>5604.8</v>
      </c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19987.1</v>
      </c>
      <c r="AG25" s="94">
        <f t="shared" si="3"/>
        <v>60.80000000000291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32221.800000000003</v>
      </c>
      <c r="C32" s="85">
        <f t="shared" si="5"/>
        <v>13939.999999999996</v>
      </c>
      <c r="D32" s="85">
        <f t="shared" si="5"/>
        <v>0</v>
      </c>
      <c r="E32" s="85">
        <f t="shared" si="5"/>
        <v>25</v>
      </c>
      <c r="F32" s="85">
        <f t="shared" si="5"/>
        <v>356.1</v>
      </c>
      <c r="G32" s="85">
        <f t="shared" si="5"/>
        <v>18.299999999999997</v>
      </c>
      <c r="H32" s="85">
        <f t="shared" si="5"/>
        <v>22.6</v>
      </c>
      <c r="I32" s="85">
        <f t="shared" si="5"/>
        <v>0</v>
      </c>
      <c r="J32" s="85">
        <f t="shared" si="5"/>
        <v>0</v>
      </c>
      <c r="K32" s="85">
        <f t="shared" si="5"/>
        <v>2408</v>
      </c>
      <c r="L32" s="85">
        <f t="shared" si="5"/>
        <v>4600.9</v>
      </c>
      <c r="M32" s="85">
        <f t="shared" si="5"/>
        <v>4900.5</v>
      </c>
      <c r="N32" s="85">
        <f t="shared" si="5"/>
        <v>0</v>
      </c>
      <c r="O32" s="85">
        <f t="shared" si="5"/>
        <v>0</v>
      </c>
      <c r="P32" s="85">
        <f t="shared" si="5"/>
        <v>2135.5</v>
      </c>
      <c r="Q32" s="85">
        <f t="shared" si="5"/>
        <v>0.1</v>
      </c>
      <c r="R32" s="85">
        <f t="shared" si="5"/>
        <v>160.2</v>
      </c>
      <c r="S32" s="85">
        <f t="shared" si="5"/>
        <v>0</v>
      </c>
      <c r="T32" s="85">
        <f t="shared" si="5"/>
        <v>7.4</v>
      </c>
      <c r="U32" s="85">
        <f t="shared" si="5"/>
        <v>1978.4</v>
      </c>
      <c r="V32" s="85">
        <f t="shared" si="5"/>
        <v>3237.2</v>
      </c>
      <c r="W32" s="85">
        <f t="shared" si="5"/>
        <v>12046.900000000001</v>
      </c>
      <c r="X32" s="85">
        <f t="shared" si="5"/>
        <v>0</v>
      </c>
      <c r="Y32" s="85">
        <f t="shared" si="5"/>
        <v>-85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31812.100000000002</v>
      </c>
      <c r="AG32" s="85">
        <f>AG24</f>
        <v>14349.7</v>
      </c>
    </row>
    <row r="33" spans="1:33" s="87" customFormat="1" ht="15" customHeight="1">
      <c r="A33" s="84" t="s">
        <v>8</v>
      </c>
      <c r="B33" s="85">
        <v>288.13</v>
      </c>
      <c r="C33" s="85">
        <f>384.9+0.1</f>
        <v>385</v>
      </c>
      <c r="D33" s="85"/>
      <c r="E33" s="85"/>
      <c r="F33" s="85"/>
      <c r="G33" s="85"/>
      <c r="H33" s="85"/>
      <c r="I33" s="85"/>
      <c r="J33" s="85"/>
      <c r="K33" s="85"/>
      <c r="L33" s="85">
        <v>33.2</v>
      </c>
      <c r="M33" s="85">
        <v>44.8</v>
      </c>
      <c r="N33" s="85"/>
      <c r="O33" s="85"/>
      <c r="P33" s="85"/>
      <c r="Q33" s="85"/>
      <c r="R33" s="85">
        <v>14.5</v>
      </c>
      <c r="S33" s="85"/>
      <c r="T33" s="85"/>
      <c r="U33" s="85"/>
      <c r="V33" s="85">
        <v>20.7</v>
      </c>
      <c r="W33" s="85">
        <v>194.3</v>
      </c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307.5</v>
      </c>
      <c r="AG33" s="85">
        <f aca="true" t="shared" si="6" ref="AG33:AG38">B33+C33-AF33</f>
        <v>365.63</v>
      </c>
    </row>
    <row r="34" spans="1:33" s="87" customFormat="1" ht="15">
      <c r="A34" s="88" t="s">
        <v>5</v>
      </c>
      <c r="B34" s="85">
        <v>204.551</v>
      </c>
      <c r="C34" s="85">
        <f>42.4-0.1</f>
        <v>42.3</v>
      </c>
      <c r="D34" s="85"/>
      <c r="E34" s="85"/>
      <c r="F34" s="85"/>
      <c r="G34" s="85"/>
      <c r="H34" s="85"/>
      <c r="I34" s="85"/>
      <c r="J34" s="85"/>
      <c r="K34" s="85"/>
      <c r="L34" s="85">
        <v>31.9</v>
      </c>
      <c r="M34" s="85">
        <v>44.8</v>
      </c>
      <c r="N34" s="85"/>
      <c r="O34" s="85"/>
      <c r="P34" s="85"/>
      <c r="Q34" s="85"/>
      <c r="R34" s="85"/>
      <c r="S34" s="85"/>
      <c r="T34" s="85"/>
      <c r="U34" s="85"/>
      <c r="V34" s="85"/>
      <c r="W34" s="85">
        <v>148.5</v>
      </c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225.2</v>
      </c>
      <c r="AG34" s="85">
        <f t="shared" si="6"/>
        <v>21.65100000000001</v>
      </c>
    </row>
    <row r="35" spans="1:33" s="87" customFormat="1" ht="15">
      <c r="A35" s="88" t="s">
        <v>1</v>
      </c>
      <c r="B35" s="85">
        <v>0</v>
      </c>
      <c r="C35" s="85">
        <v>6.7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6.7</v>
      </c>
    </row>
    <row r="36" spans="1:33" s="87" customFormat="1" ht="15">
      <c r="A36" s="88" t="s">
        <v>2</v>
      </c>
      <c r="B36" s="90">
        <v>74.671</v>
      </c>
      <c r="C36" s="85">
        <v>41.2</v>
      </c>
      <c r="D36" s="85"/>
      <c r="E36" s="85"/>
      <c r="F36" s="85"/>
      <c r="G36" s="85"/>
      <c r="H36" s="85"/>
      <c r="I36" s="85"/>
      <c r="J36" s="85"/>
      <c r="K36" s="85"/>
      <c r="L36" s="85">
        <v>0.7</v>
      </c>
      <c r="M36" s="85"/>
      <c r="N36" s="85"/>
      <c r="O36" s="85"/>
      <c r="P36" s="85"/>
      <c r="Q36" s="85"/>
      <c r="R36" s="85">
        <v>14.5</v>
      </c>
      <c r="S36" s="85"/>
      <c r="T36" s="85"/>
      <c r="U36" s="85"/>
      <c r="V36" s="85">
        <v>9.9</v>
      </c>
      <c r="W36" s="85">
        <v>45.1</v>
      </c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70.2</v>
      </c>
      <c r="AG36" s="85">
        <f t="shared" si="6"/>
        <v>45.67100000000001</v>
      </c>
    </row>
    <row r="37" spans="1:33" s="87" customFormat="1" ht="15">
      <c r="A37" s="88" t="s">
        <v>16</v>
      </c>
      <c r="B37" s="85">
        <v>0</v>
      </c>
      <c r="C37" s="85">
        <v>258.09999999999997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258.09999999999997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8.908000000000001</v>
      </c>
      <c r="C39" s="85">
        <f t="shared" si="7"/>
        <v>36.70000000000003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0</v>
      </c>
      <c r="L39" s="85">
        <f t="shared" si="7"/>
        <v>0.6000000000000043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10.799999999999999</v>
      </c>
      <c r="W39" s="85">
        <f t="shared" si="7"/>
        <v>0.70000000000001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12.100000000000014</v>
      </c>
      <c r="AG39" s="85">
        <f>AG33-AG34-AG36-AG38-AG35-AG37</f>
        <v>33.50800000000004</v>
      </c>
    </row>
    <row r="40" spans="1:33" s="87" customFormat="1" ht="15" customHeight="1">
      <c r="A40" s="84" t="s">
        <v>29</v>
      </c>
      <c r="B40" s="85">
        <v>981.087</v>
      </c>
      <c r="C40" s="85">
        <f>200.6+0.1</f>
        <v>200.7</v>
      </c>
      <c r="D40" s="85"/>
      <c r="E40" s="85"/>
      <c r="F40" s="85"/>
      <c r="G40" s="85"/>
      <c r="H40" s="85"/>
      <c r="I40" s="85"/>
      <c r="J40" s="85"/>
      <c r="K40" s="85"/>
      <c r="L40" s="85">
        <v>371.6</v>
      </c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>
        <v>538</v>
      </c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909.6</v>
      </c>
      <c r="AG40" s="85">
        <f aca="true" t="shared" si="8" ref="AG40:AG45">B40+C40-AF40</f>
        <v>272.187</v>
      </c>
    </row>
    <row r="41" spans="1:34" s="87" customFormat="1" ht="15">
      <c r="A41" s="88" t="s">
        <v>5</v>
      </c>
      <c r="B41" s="85">
        <v>839.51</v>
      </c>
      <c r="C41" s="85">
        <v>63.09999999999991</v>
      </c>
      <c r="D41" s="85"/>
      <c r="E41" s="85"/>
      <c r="F41" s="85"/>
      <c r="G41" s="85"/>
      <c r="H41" s="85"/>
      <c r="I41" s="85"/>
      <c r="J41" s="85"/>
      <c r="K41" s="85"/>
      <c r="L41" s="85">
        <v>314.8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>
        <v>524.7</v>
      </c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839.5</v>
      </c>
      <c r="AG41" s="85">
        <f t="shared" si="8"/>
        <v>63.1099999999999</v>
      </c>
      <c r="AH41" s="97"/>
    </row>
    <row r="42" spans="1:33" s="87" customFormat="1" ht="15">
      <c r="A42" s="88" t="s">
        <v>3</v>
      </c>
      <c r="B42" s="85">
        <v>0.25</v>
      </c>
      <c r="C42" s="85">
        <v>0.3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0.55</v>
      </c>
    </row>
    <row r="43" spans="1:33" s="87" customFormat="1" ht="15">
      <c r="A43" s="88" t="s">
        <v>1</v>
      </c>
      <c r="B43" s="85">
        <v>7.994</v>
      </c>
      <c r="C43" s="85">
        <v>12.700000000000001</v>
      </c>
      <c r="D43" s="85"/>
      <c r="E43" s="85"/>
      <c r="F43" s="85"/>
      <c r="G43" s="85"/>
      <c r="H43" s="85"/>
      <c r="I43" s="85"/>
      <c r="J43" s="85"/>
      <c r="K43" s="85"/>
      <c r="L43" s="85">
        <v>6.4</v>
      </c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6.4</v>
      </c>
      <c r="AG43" s="85">
        <f t="shared" si="8"/>
        <v>14.294000000000002</v>
      </c>
    </row>
    <row r="44" spans="1:33" s="87" customFormat="1" ht="15">
      <c r="A44" s="88" t="s">
        <v>2</v>
      </c>
      <c r="B44" s="85">
        <v>109.173</v>
      </c>
      <c r="C44" s="85">
        <v>104.89999999999999</v>
      </c>
      <c r="D44" s="85"/>
      <c r="E44" s="85"/>
      <c r="F44" s="85"/>
      <c r="G44" s="85"/>
      <c r="H44" s="85"/>
      <c r="I44" s="85"/>
      <c r="J44" s="85"/>
      <c r="K44" s="85"/>
      <c r="L44" s="85">
        <v>33.4</v>
      </c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>
        <v>6.8</v>
      </c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40.199999999999996</v>
      </c>
      <c r="AG44" s="85">
        <f t="shared" si="8"/>
        <v>173.873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24.159999999999997</v>
      </c>
      <c r="C46" s="85">
        <f t="shared" si="9"/>
        <v>19.700000000000074</v>
      </c>
      <c r="D46" s="85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0</v>
      </c>
      <c r="L46" s="85">
        <f t="shared" si="9"/>
        <v>17.000000000000014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0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6.499999999999955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23.499999999999968</v>
      </c>
      <c r="AG46" s="85">
        <f>AG40-AG41-AG42-AG43-AG44-AG45</f>
        <v>20.3600000000001</v>
      </c>
    </row>
    <row r="47" spans="1:33" s="87" customFormat="1" ht="17.25" customHeight="1">
      <c r="A47" s="84" t="s">
        <v>43</v>
      </c>
      <c r="B47" s="86">
        <f>784.1+34.6-21.5</f>
        <v>797.2</v>
      </c>
      <c r="C47" s="85">
        <v>1356.5</v>
      </c>
      <c r="D47" s="85"/>
      <c r="E47" s="98">
        <v>25</v>
      </c>
      <c r="F47" s="98"/>
      <c r="G47" s="98">
        <v>23</v>
      </c>
      <c r="H47" s="98"/>
      <c r="I47" s="98">
        <v>133.9</v>
      </c>
      <c r="J47" s="98">
        <v>48.3</v>
      </c>
      <c r="K47" s="98"/>
      <c r="L47" s="98">
        <v>22</v>
      </c>
      <c r="M47" s="98">
        <v>69.3</v>
      </c>
      <c r="N47" s="98"/>
      <c r="O47" s="98">
        <v>40.7</v>
      </c>
      <c r="P47" s="98">
        <v>4.4</v>
      </c>
      <c r="Q47" s="98"/>
      <c r="R47" s="98"/>
      <c r="S47" s="98">
        <v>50.1</v>
      </c>
      <c r="T47" s="98">
        <v>177</v>
      </c>
      <c r="U47" s="98"/>
      <c r="V47" s="98"/>
      <c r="W47" s="98">
        <v>79</v>
      </c>
      <c r="X47" s="98">
        <v>7.4</v>
      </c>
      <c r="Y47" s="98"/>
      <c r="Z47" s="98"/>
      <c r="AA47" s="98"/>
      <c r="AB47" s="98"/>
      <c r="AC47" s="98"/>
      <c r="AD47" s="98"/>
      <c r="AE47" s="98"/>
      <c r="AF47" s="85">
        <f t="shared" si="1"/>
        <v>680.1</v>
      </c>
      <c r="AG47" s="85">
        <f>B47+C47-AF47</f>
        <v>1473.6</v>
      </c>
    </row>
    <row r="48" spans="1:33" s="87" customFormat="1" ht="15">
      <c r="A48" s="88" t="s">
        <v>5</v>
      </c>
      <c r="B48" s="85">
        <v>18.7</v>
      </c>
      <c r="C48" s="85">
        <v>36.099999999999994</v>
      </c>
      <c r="D48" s="85"/>
      <c r="E48" s="98"/>
      <c r="F48" s="98"/>
      <c r="G48" s="98"/>
      <c r="H48" s="98"/>
      <c r="I48" s="98"/>
      <c r="J48" s="98"/>
      <c r="K48" s="98"/>
      <c r="L48" s="98">
        <v>22</v>
      </c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>
        <v>11.1</v>
      </c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33.1</v>
      </c>
      <c r="AG48" s="85">
        <f>B48+C48-AF48</f>
        <v>21.699999999999996</v>
      </c>
    </row>
    <row r="49" spans="1:33" s="87" customFormat="1" ht="15">
      <c r="A49" s="88" t="s">
        <v>16</v>
      </c>
      <c r="B49" s="85">
        <f>593.1-11.6</f>
        <v>581.5</v>
      </c>
      <c r="C49" s="85">
        <f>1066.6</f>
        <v>1066.6</v>
      </c>
      <c r="D49" s="85"/>
      <c r="E49" s="85"/>
      <c r="F49" s="85"/>
      <c r="G49" s="85">
        <v>23</v>
      </c>
      <c r="H49" s="85"/>
      <c r="I49" s="85">
        <v>133.8</v>
      </c>
      <c r="J49" s="85">
        <v>48.3</v>
      </c>
      <c r="K49" s="85"/>
      <c r="L49" s="85"/>
      <c r="M49" s="85"/>
      <c r="N49" s="85"/>
      <c r="O49" s="85">
        <v>40.7</v>
      </c>
      <c r="P49" s="85"/>
      <c r="Q49" s="85"/>
      <c r="R49" s="85"/>
      <c r="S49" s="85"/>
      <c r="T49" s="85">
        <v>160.4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406.20000000000005</v>
      </c>
      <c r="AG49" s="85">
        <f>B49+C49-AF49</f>
        <v>1241.8999999999999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197</v>
      </c>
      <c r="C51" s="85">
        <f t="shared" si="10"/>
        <v>253.80000000000018</v>
      </c>
      <c r="D51" s="85">
        <f t="shared" si="10"/>
        <v>0</v>
      </c>
      <c r="E51" s="85">
        <f t="shared" si="10"/>
        <v>25</v>
      </c>
      <c r="F51" s="85">
        <f t="shared" si="10"/>
        <v>0</v>
      </c>
      <c r="G51" s="85">
        <f t="shared" si="10"/>
        <v>0</v>
      </c>
      <c r="H51" s="85">
        <f t="shared" si="10"/>
        <v>0</v>
      </c>
      <c r="I51" s="85">
        <f t="shared" si="10"/>
        <v>0.09999999999999432</v>
      </c>
      <c r="J51" s="85">
        <f t="shared" si="10"/>
        <v>0</v>
      </c>
      <c r="K51" s="85">
        <f t="shared" si="10"/>
        <v>0</v>
      </c>
      <c r="L51" s="85">
        <f t="shared" si="10"/>
        <v>0</v>
      </c>
      <c r="M51" s="85">
        <f t="shared" si="10"/>
        <v>69.3</v>
      </c>
      <c r="N51" s="85">
        <f t="shared" si="10"/>
        <v>0</v>
      </c>
      <c r="O51" s="85">
        <f t="shared" si="10"/>
        <v>0</v>
      </c>
      <c r="P51" s="85">
        <f t="shared" si="10"/>
        <v>4.4</v>
      </c>
      <c r="Q51" s="85">
        <f t="shared" si="10"/>
        <v>0</v>
      </c>
      <c r="R51" s="85">
        <f t="shared" si="10"/>
        <v>0</v>
      </c>
      <c r="S51" s="85">
        <f t="shared" si="10"/>
        <v>50.1</v>
      </c>
      <c r="T51" s="85">
        <f t="shared" si="10"/>
        <v>16.599999999999994</v>
      </c>
      <c r="U51" s="85">
        <f t="shared" si="10"/>
        <v>0</v>
      </c>
      <c r="V51" s="85">
        <f t="shared" si="10"/>
        <v>0</v>
      </c>
      <c r="W51" s="85">
        <f t="shared" si="10"/>
        <v>67.9</v>
      </c>
      <c r="X51" s="85">
        <f t="shared" si="10"/>
        <v>7.4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240.8</v>
      </c>
      <c r="AG51" s="85">
        <f>AG47-AG49-AG48</f>
        <v>210.00000000000006</v>
      </c>
    </row>
    <row r="52" spans="1:33" s="87" customFormat="1" ht="15" customHeight="1">
      <c r="A52" s="84" t="s">
        <v>0</v>
      </c>
      <c r="B52" s="85">
        <f>5621.7-600+643.6</f>
        <v>5665.3</v>
      </c>
      <c r="C52" s="85">
        <v>2546.2000000000003</v>
      </c>
      <c r="D52" s="85"/>
      <c r="E52" s="85"/>
      <c r="F52" s="85">
        <v>1146.6</v>
      </c>
      <c r="G52" s="85">
        <v>71</v>
      </c>
      <c r="H52" s="85">
        <v>271</v>
      </c>
      <c r="I52" s="85"/>
      <c r="J52" s="85">
        <v>69.2</v>
      </c>
      <c r="K52" s="85">
        <v>1.5</v>
      </c>
      <c r="L52" s="85"/>
      <c r="M52" s="85"/>
      <c r="N52" s="85">
        <v>244.6</v>
      </c>
      <c r="O52" s="85">
        <v>38.7</v>
      </c>
      <c r="P52" s="85">
        <v>9.9</v>
      </c>
      <c r="Q52" s="85"/>
      <c r="R52" s="85"/>
      <c r="S52" s="85">
        <v>80</v>
      </c>
      <c r="T52" s="85">
        <v>103</v>
      </c>
      <c r="U52" s="85">
        <v>282.9</v>
      </c>
      <c r="V52" s="85"/>
      <c r="W52" s="85">
        <v>167.6</v>
      </c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2486</v>
      </c>
      <c r="AG52" s="85">
        <f aca="true" t="shared" si="11" ref="AG52:AG59">B52+C52-AF52</f>
        <v>5725.5</v>
      </c>
    </row>
    <row r="53" spans="1:33" s="87" customFormat="1" ht="15" customHeight="1">
      <c r="A53" s="88" t="s">
        <v>2</v>
      </c>
      <c r="B53" s="85">
        <f>1004.7-194.8</f>
        <v>809.9000000000001</v>
      </c>
      <c r="C53" s="85">
        <v>733.9000000000001</v>
      </c>
      <c r="D53" s="85"/>
      <c r="E53" s="85"/>
      <c r="F53" s="85">
        <v>814.3</v>
      </c>
      <c r="G53" s="85"/>
      <c r="H53" s="85">
        <v>78.3</v>
      </c>
      <c r="I53" s="85"/>
      <c r="J53" s="85">
        <v>19.7</v>
      </c>
      <c r="K53" s="85">
        <v>1.5</v>
      </c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>
        <v>77.7</v>
      </c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991.5</v>
      </c>
      <c r="AG53" s="85">
        <f t="shared" si="11"/>
        <v>552.3000000000002</v>
      </c>
    </row>
    <row r="54" spans="1:34" s="87" customFormat="1" ht="15">
      <c r="A54" s="84" t="s">
        <v>9</v>
      </c>
      <c r="B54" s="90">
        <f>5393.1+190-1466.1</f>
        <v>4117</v>
      </c>
      <c r="C54" s="85">
        <f>3926.4+0.1</f>
        <v>3926.5</v>
      </c>
      <c r="D54" s="85"/>
      <c r="E54" s="85">
        <v>4.8</v>
      </c>
      <c r="F54" s="85">
        <v>209.6</v>
      </c>
      <c r="G54" s="85">
        <v>11.3</v>
      </c>
      <c r="H54" s="85"/>
      <c r="I54" s="85">
        <v>338.5</v>
      </c>
      <c r="J54" s="85"/>
      <c r="K54" s="85"/>
      <c r="L54" s="85"/>
      <c r="M54" s="85">
        <v>2523.4</v>
      </c>
      <c r="N54" s="85"/>
      <c r="O54" s="85">
        <v>358.9</v>
      </c>
      <c r="P54" s="85"/>
      <c r="Q54" s="85"/>
      <c r="R54" s="85">
        <v>49.1</v>
      </c>
      <c r="S54" s="85"/>
      <c r="T54" s="85">
        <v>3</v>
      </c>
      <c r="U54" s="85">
        <v>257</v>
      </c>
      <c r="V54" s="85">
        <v>59.9</v>
      </c>
      <c r="W54" s="85">
        <v>1758.5</v>
      </c>
      <c r="X54" s="85">
        <v>531</v>
      </c>
      <c r="Y54" s="85"/>
      <c r="Z54" s="85"/>
      <c r="AA54" s="85"/>
      <c r="AB54" s="85"/>
      <c r="AC54" s="85"/>
      <c r="AD54" s="85"/>
      <c r="AE54" s="85"/>
      <c r="AF54" s="85">
        <f t="shared" si="1"/>
        <v>6105</v>
      </c>
      <c r="AG54" s="85">
        <f t="shared" si="11"/>
        <v>1938.5</v>
      </c>
      <c r="AH54" s="97"/>
    </row>
    <row r="55" spans="1:34" s="87" customFormat="1" ht="15">
      <c r="A55" s="88" t="s">
        <v>5</v>
      </c>
      <c r="B55" s="85">
        <f>4278.3-1466.1</f>
        <v>2812.2000000000003</v>
      </c>
      <c r="C55" s="85">
        <v>2526.0999999999995</v>
      </c>
      <c r="D55" s="85"/>
      <c r="E55" s="85"/>
      <c r="F55" s="85"/>
      <c r="G55" s="85">
        <v>11.3</v>
      </c>
      <c r="H55" s="85"/>
      <c r="I55" s="85"/>
      <c r="J55" s="85"/>
      <c r="K55" s="85"/>
      <c r="L55" s="85"/>
      <c r="M55" s="85">
        <v>2514.5</v>
      </c>
      <c r="N55" s="85"/>
      <c r="O55" s="85">
        <v>90.9</v>
      </c>
      <c r="P55" s="85"/>
      <c r="Q55" s="85"/>
      <c r="R55" s="85"/>
      <c r="S55" s="85"/>
      <c r="T55" s="85"/>
      <c r="U55" s="85"/>
      <c r="V55" s="85"/>
      <c r="W55" s="85">
        <v>1665.8</v>
      </c>
      <c r="X55" s="85">
        <v>520</v>
      </c>
      <c r="Y55" s="85"/>
      <c r="Z55" s="85"/>
      <c r="AA55" s="85"/>
      <c r="AB55" s="85"/>
      <c r="AC55" s="85"/>
      <c r="AD55" s="85"/>
      <c r="AE55" s="85"/>
      <c r="AF55" s="85">
        <f t="shared" si="1"/>
        <v>4802.5</v>
      </c>
      <c r="AG55" s="85">
        <f t="shared" si="11"/>
        <v>535.7999999999993</v>
      </c>
      <c r="AH55" s="97"/>
    </row>
    <row r="56" spans="1:34" s="87" customFormat="1" ht="15" customHeight="1" hidden="1">
      <c r="A56" s="88" t="s">
        <v>1</v>
      </c>
      <c r="B56" s="85"/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455.7</v>
      </c>
      <c r="C57" s="85">
        <f>531.7-0.9</f>
        <v>530.8000000000001</v>
      </c>
      <c r="D57" s="85"/>
      <c r="E57" s="85"/>
      <c r="F57" s="85"/>
      <c r="G57" s="85"/>
      <c r="H57" s="85"/>
      <c r="I57" s="85">
        <v>23.5</v>
      </c>
      <c r="J57" s="85"/>
      <c r="K57" s="85"/>
      <c r="L57" s="85"/>
      <c r="M57" s="85"/>
      <c r="N57" s="85"/>
      <c r="O57" s="85">
        <v>92.8</v>
      </c>
      <c r="P57" s="85"/>
      <c r="Q57" s="85"/>
      <c r="R57" s="85">
        <v>6.7</v>
      </c>
      <c r="S57" s="85"/>
      <c r="T57" s="85"/>
      <c r="U57" s="85">
        <v>128.8</v>
      </c>
      <c r="V57" s="85">
        <v>27</v>
      </c>
      <c r="W57" s="85">
        <v>38.2</v>
      </c>
      <c r="X57" s="85">
        <v>1.3</v>
      </c>
      <c r="Y57" s="85"/>
      <c r="Z57" s="85"/>
      <c r="AA57" s="85"/>
      <c r="AB57" s="85"/>
      <c r="AC57" s="85"/>
      <c r="AD57" s="85"/>
      <c r="AE57" s="85"/>
      <c r="AF57" s="85">
        <f t="shared" si="1"/>
        <v>318.3</v>
      </c>
      <c r="AG57" s="85">
        <f t="shared" si="11"/>
        <v>668.2</v>
      </c>
    </row>
    <row r="58" spans="1:33" s="87" customFormat="1" ht="15">
      <c r="A58" s="88" t="s">
        <v>16</v>
      </c>
      <c r="B58" s="86">
        <v>45.1</v>
      </c>
      <c r="C58" s="85">
        <v>1.7999999999999998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>
        <v>40</v>
      </c>
      <c r="P58" s="85"/>
      <c r="Q58" s="85"/>
      <c r="R58" s="85"/>
      <c r="S58" s="85"/>
      <c r="T58" s="85"/>
      <c r="U58" s="85"/>
      <c r="V58" s="85"/>
      <c r="W58" s="85">
        <v>6.9</v>
      </c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46.9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>
        <f aca="true" t="shared" si="12" ref="B60:AD60">B54-B55-B57-B59-B56-B58</f>
        <v>803.9999999999997</v>
      </c>
      <c r="C60" s="85">
        <f t="shared" si="12"/>
        <v>867.8000000000005</v>
      </c>
      <c r="D60" s="85">
        <f t="shared" si="12"/>
        <v>0</v>
      </c>
      <c r="E60" s="85">
        <f t="shared" si="12"/>
        <v>4.8</v>
      </c>
      <c r="F60" s="85">
        <f t="shared" si="12"/>
        <v>209.6</v>
      </c>
      <c r="G60" s="85">
        <f t="shared" si="12"/>
        <v>0</v>
      </c>
      <c r="H60" s="85">
        <f t="shared" si="12"/>
        <v>0</v>
      </c>
      <c r="I60" s="85">
        <f t="shared" si="12"/>
        <v>315</v>
      </c>
      <c r="J60" s="85">
        <f t="shared" si="12"/>
        <v>0</v>
      </c>
      <c r="K60" s="85">
        <f t="shared" si="12"/>
        <v>0</v>
      </c>
      <c r="L60" s="85">
        <f t="shared" si="12"/>
        <v>0</v>
      </c>
      <c r="M60" s="85">
        <f t="shared" si="12"/>
        <v>8.900000000000091</v>
      </c>
      <c r="N60" s="85">
        <f t="shared" si="12"/>
        <v>0</v>
      </c>
      <c r="O60" s="85">
        <f t="shared" si="12"/>
        <v>135.2</v>
      </c>
      <c r="P60" s="85">
        <f t="shared" si="12"/>
        <v>0</v>
      </c>
      <c r="Q60" s="85">
        <f>Q54-Q55-Q57-Q59-Q56-Q58</f>
        <v>0</v>
      </c>
      <c r="R60" s="85">
        <f t="shared" si="12"/>
        <v>42.4</v>
      </c>
      <c r="S60" s="85">
        <f t="shared" si="12"/>
        <v>0</v>
      </c>
      <c r="T60" s="85">
        <f t="shared" si="12"/>
        <v>3</v>
      </c>
      <c r="U60" s="85">
        <f t="shared" si="12"/>
        <v>128.2</v>
      </c>
      <c r="V60" s="85">
        <f t="shared" si="12"/>
        <v>32.9</v>
      </c>
      <c r="W60" s="85">
        <f t="shared" si="12"/>
        <v>47.600000000000044</v>
      </c>
      <c r="X60" s="85">
        <f t="shared" si="12"/>
        <v>9.7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937.3000000000001</v>
      </c>
      <c r="AG60" s="85">
        <f>AG54-AG55-AG57-AG59-AG56-AG58</f>
        <v>734.5000000000007</v>
      </c>
    </row>
    <row r="61" spans="1:33" s="87" customFormat="1" ht="15" customHeight="1">
      <c r="A61" s="84" t="s">
        <v>10</v>
      </c>
      <c r="B61" s="85">
        <f>68.6-90+100</f>
        <v>78.6</v>
      </c>
      <c r="C61" s="85">
        <f>713.8-100</f>
        <v>613.8</v>
      </c>
      <c r="D61" s="85"/>
      <c r="E61" s="85"/>
      <c r="F61" s="85"/>
      <c r="G61" s="85"/>
      <c r="H61" s="85"/>
      <c r="I61" s="85"/>
      <c r="J61" s="85">
        <v>50.7</v>
      </c>
      <c r="K61" s="85"/>
      <c r="L61" s="85"/>
      <c r="M61" s="85"/>
      <c r="N61" s="85"/>
      <c r="O61" s="85">
        <v>0.5</v>
      </c>
      <c r="P61" s="85"/>
      <c r="Q61" s="85"/>
      <c r="R61" s="85"/>
      <c r="S61" s="85"/>
      <c r="T61" s="85"/>
      <c r="U61" s="85"/>
      <c r="V61" s="85">
        <v>53.3</v>
      </c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104.5</v>
      </c>
      <c r="AG61" s="85">
        <f aca="true" t="shared" si="14" ref="AG61:AG67">B61+C61-AF61</f>
        <v>587.9</v>
      </c>
    </row>
    <row r="62" spans="1:33" s="87" customFormat="1" ht="15" customHeight="1">
      <c r="A62" s="84" t="s">
        <v>11</v>
      </c>
      <c r="B62" s="85">
        <f>1997.4+500</f>
        <v>2497.4</v>
      </c>
      <c r="C62" s="85">
        <f>1866.5+0.1</f>
        <v>1866.6</v>
      </c>
      <c r="D62" s="85"/>
      <c r="E62" s="85">
        <v>13.3</v>
      </c>
      <c r="F62" s="85"/>
      <c r="G62" s="85">
        <v>47.3</v>
      </c>
      <c r="H62" s="85"/>
      <c r="I62" s="85"/>
      <c r="J62" s="85"/>
      <c r="K62" s="85">
        <v>43.3</v>
      </c>
      <c r="L62" s="85"/>
      <c r="M62" s="85">
        <v>755.5</v>
      </c>
      <c r="N62" s="85"/>
      <c r="O62" s="85"/>
      <c r="P62" s="85"/>
      <c r="Q62" s="85"/>
      <c r="R62" s="85">
        <v>283.4</v>
      </c>
      <c r="S62" s="85"/>
      <c r="T62" s="85">
        <v>0.3</v>
      </c>
      <c r="U62" s="85"/>
      <c r="V62" s="85">
        <v>60.9</v>
      </c>
      <c r="W62" s="85">
        <v>39.3</v>
      </c>
      <c r="X62" s="85">
        <v>1060.5</v>
      </c>
      <c r="Y62" s="85"/>
      <c r="Z62" s="85"/>
      <c r="AA62" s="85"/>
      <c r="AB62" s="85"/>
      <c r="AC62" s="85"/>
      <c r="AD62" s="85"/>
      <c r="AE62" s="85"/>
      <c r="AF62" s="85">
        <f t="shared" si="13"/>
        <v>2303.8</v>
      </c>
      <c r="AG62" s="85">
        <f t="shared" si="14"/>
        <v>2060.2</v>
      </c>
    </row>
    <row r="63" spans="1:34" s="87" customFormat="1" ht="15">
      <c r="A63" s="88" t="s">
        <v>5</v>
      </c>
      <c r="B63" s="85">
        <f>1330.3+157.8</f>
        <v>1488.1</v>
      </c>
      <c r="C63" s="85">
        <f>192.6+0.2</f>
        <v>192.79999999999998</v>
      </c>
      <c r="D63" s="85"/>
      <c r="E63" s="85">
        <v>13.3</v>
      </c>
      <c r="F63" s="85"/>
      <c r="G63" s="85"/>
      <c r="H63" s="85"/>
      <c r="I63" s="85"/>
      <c r="J63" s="85"/>
      <c r="K63" s="85"/>
      <c r="L63" s="85"/>
      <c r="M63" s="85">
        <v>716.5</v>
      </c>
      <c r="N63" s="85"/>
      <c r="O63" s="85"/>
      <c r="P63" s="85"/>
      <c r="Q63" s="85"/>
      <c r="R63" s="85"/>
      <c r="S63" s="85"/>
      <c r="T63" s="85"/>
      <c r="U63" s="85"/>
      <c r="V63" s="85">
        <v>1.1</v>
      </c>
      <c r="W63" s="85">
        <v>31.1</v>
      </c>
      <c r="X63" s="85">
        <v>837.9</v>
      </c>
      <c r="Y63" s="85"/>
      <c r="Z63" s="85"/>
      <c r="AA63" s="85"/>
      <c r="AB63" s="85"/>
      <c r="AC63" s="85"/>
      <c r="AD63" s="85"/>
      <c r="AE63" s="85"/>
      <c r="AF63" s="85">
        <f t="shared" si="13"/>
        <v>1599.9</v>
      </c>
      <c r="AG63" s="85">
        <f t="shared" si="14"/>
        <v>80.99999999999977</v>
      </c>
      <c r="AH63" s="101"/>
    </row>
    <row r="64" spans="1:34" s="87" customFormat="1" ht="15">
      <c r="A64" s="88" t="s">
        <v>3</v>
      </c>
      <c r="B64" s="85">
        <v>3.3</v>
      </c>
      <c r="C64" s="85">
        <v>4.9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>
        <v>1.5</v>
      </c>
      <c r="S64" s="85"/>
      <c r="T64" s="85"/>
      <c r="U64" s="85"/>
      <c r="V64" s="85">
        <v>1.7</v>
      </c>
      <c r="W64" s="85">
        <v>1.6</v>
      </c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4.800000000000001</v>
      </c>
      <c r="AG64" s="85">
        <f t="shared" si="14"/>
        <v>3.3999999999999986</v>
      </c>
      <c r="AH64" s="97"/>
    </row>
    <row r="65" spans="1:34" s="87" customFormat="1" ht="15">
      <c r="A65" s="88" t="s">
        <v>1</v>
      </c>
      <c r="B65" s="85">
        <f>68.4-0.2</f>
        <v>68.2</v>
      </c>
      <c r="C65" s="85">
        <f>135.2</f>
        <v>135.2</v>
      </c>
      <c r="D65" s="85"/>
      <c r="E65" s="85"/>
      <c r="F65" s="85"/>
      <c r="G65" s="85">
        <v>17.5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>
        <v>59.2</v>
      </c>
      <c r="S65" s="85"/>
      <c r="T65" s="85"/>
      <c r="U65" s="85"/>
      <c r="V65" s="85">
        <v>20.1</v>
      </c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96.80000000000001</v>
      </c>
      <c r="AG65" s="85">
        <f t="shared" si="14"/>
        <v>106.59999999999997</v>
      </c>
      <c r="AH65" s="97"/>
    </row>
    <row r="66" spans="1:33" s="87" customFormat="1" ht="15">
      <c r="A66" s="88" t="s">
        <v>2</v>
      </c>
      <c r="B66" s="85">
        <v>182.6</v>
      </c>
      <c r="C66" s="85">
        <f>104.8+0.2</f>
        <v>105</v>
      </c>
      <c r="D66" s="85"/>
      <c r="E66" s="85"/>
      <c r="F66" s="85"/>
      <c r="G66" s="85">
        <v>4.4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>
        <v>28.3</v>
      </c>
      <c r="S66" s="85"/>
      <c r="T66" s="85"/>
      <c r="U66" s="85"/>
      <c r="V66" s="85">
        <v>19.3</v>
      </c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52</v>
      </c>
      <c r="AG66" s="85">
        <f t="shared" si="14"/>
        <v>235.60000000000002</v>
      </c>
    </row>
    <row r="67" spans="1:33" s="87" customFormat="1" ht="15">
      <c r="A67" s="88" t="s">
        <v>16</v>
      </c>
      <c r="B67" s="85">
        <f>49.2+500</f>
        <v>549.2</v>
      </c>
      <c r="C67" s="85">
        <v>20.1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>
        <v>40</v>
      </c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529.3000000000001</v>
      </c>
    </row>
    <row r="68" spans="1:33" s="87" customFormat="1" ht="15">
      <c r="A68" s="88" t="s">
        <v>23</v>
      </c>
      <c r="B68" s="85">
        <f aca="true" t="shared" si="15" ref="B68:AD68">B62-B63-B66-B67-B65-B64</f>
        <v>206.0000000000001</v>
      </c>
      <c r="C68" s="85">
        <f t="shared" si="15"/>
        <v>1408.6</v>
      </c>
      <c r="D68" s="85">
        <f t="shared" si="15"/>
        <v>0</v>
      </c>
      <c r="E68" s="85">
        <f t="shared" si="15"/>
        <v>0</v>
      </c>
      <c r="F68" s="85">
        <f t="shared" si="15"/>
        <v>0</v>
      </c>
      <c r="G68" s="85">
        <f t="shared" si="15"/>
        <v>25.4</v>
      </c>
      <c r="H68" s="85">
        <f t="shared" si="15"/>
        <v>0</v>
      </c>
      <c r="I68" s="85">
        <f t="shared" si="15"/>
        <v>0</v>
      </c>
      <c r="J68" s="85">
        <f t="shared" si="15"/>
        <v>0</v>
      </c>
      <c r="K68" s="85">
        <f t="shared" si="15"/>
        <v>43.3</v>
      </c>
      <c r="L68" s="85">
        <f t="shared" si="15"/>
        <v>0</v>
      </c>
      <c r="M68" s="85">
        <f t="shared" si="15"/>
        <v>39</v>
      </c>
      <c r="N68" s="85">
        <f t="shared" si="15"/>
        <v>0</v>
      </c>
      <c r="O68" s="85">
        <f t="shared" si="15"/>
        <v>0</v>
      </c>
      <c r="P68" s="85">
        <f t="shared" si="15"/>
        <v>0</v>
      </c>
      <c r="Q68" s="85">
        <f t="shared" si="15"/>
        <v>0</v>
      </c>
      <c r="R68" s="85">
        <f t="shared" si="15"/>
        <v>154.39999999999998</v>
      </c>
      <c r="S68" s="85">
        <f t="shared" si="15"/>
        <v>0</v>
      </c>
      <c r="T68" s="85">
        <f t="shared" si="15"/>
        <v>0.3</v>
      </c>
      <c r="U68" s="85">
        <f t="shared" si="15"/>
        <v>0</v>
      </c>
      <c r="V68" s="85">
        <f t="shared" si="15"/>
        <v>18.7</v>
      </c>
      <c r="W68" s="85">
        <f t="shared" si="15"/>
        <v>6.599999999999996</v>
      </c>
      <c r="X68" s="85">
        <f t="shared" si="15"/>
        <v>222.60000000000002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510.3</v>
      </c>
      <c r="AG68" s="85">
        <f>AG62-AG63-AG66-AG67-AG65-AG64</f>
        <v>1104.2999999999997</v>
      </c>
    </row>
    <row r="69" spans="1:33" s="87" customFormat="1" ht="30.75">
      <c r="A69" s="84" t="s">
        <v>46</v>
      </c>
      <c r="B69" s="85">
        <v>5063.2</v>
      </c>
      <c r="C69" s="85">
        <v>801.5999999999985</v>
      </c>
      <c r="D69" s="85"/>
      <c r="E69" s="85"/>
      <c r="F69" s="85"/>
      <c r="G69" s="85">
        <v>2307.7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>
        <v>1782.5</v>
      </c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4090.2</v>
      </c>
      <c r="AG69" s="102">
        <f aca="true" t="shared" si="16" ref="AG69:AG92">B69+C69-AF69</f>
        <v>1774.5999999999985</v>
      </c>
    </row>
    <row r="70" spans="1:33" s="87" customFormat="1" ht="15" hidden="1">
      <c r="A70" s="84" t="s">
        <v>32</v>
      </c>
      <c r="B70" s="85"/>
      <c r="C70" s="85">
        <v>0</v>
      </c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905.3</v>
      </c>
      <c r="C71" s="98">
        <v>131.4999999999999</v>
      </c>
      <c r="D71" s="98"/>
      <c r="E71" s="98"/>
      <c r="F71" s="98"/>
      <c r="G71" s="98"/>
      <c r="H71" s="98">
        <v>772.1</v>
      </c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>
        <v>23.2</v>
      </c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795.3000000000001</v>
      </c>
      <c r="AG71" s="102">
        <f t="shared" si="16"/>
        <v>241.49999999999966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983.2-113-70</f>
        <v>800.2</v>
      </c>
      <c r="C72" s="85">
        <f>4804.5+0.8</f>
        <v>4805.3</v>
      </c>
      <c r="D72" s="85"/>
      <c r="E72" s="85">
        <v>193</v>
      </c>
      <c r="F72" s="85">
        <v>103.4</v>
      </c>
      <c r="G72" s="85"/>
      <c r="H72" s="85">
        <v>18.4</v>
      </c>
      <c r="I72" s="85">
        <v>29.7</v>
      </c>
      <c r="J72" s="85">
        <v>7</v>
      </c>
      <c r="K72" s="85">
        <v>129.6</v>
      </c>
      <c r="L72" s="85">
        <v>84.1</v>
      </c>
      <c r="M72" s="85">
        <v>22.4</v>
      </c>
      <c r="N72" s="85">
        <v>1.7</v>
      </c>
      <c r="O72" s="85">
        <v>39.1</v>
      </c>
      <c r="P72" s="85">
        <v>20.2</v>
      </c>
      <c r="Q72" s="85"/>
      <c r="R72" s="85"/>
      <c r="S72" s="85">
        <v>44.9</v>
      </c>
      <c r="T72" s="85">
        <v>6.6</v>
      </c>
      <c r="U72" s="85">
        <v>2.1</v>
      </c>
      <c r="V72" s="85">
        <v>277.6</v>
      </c>
      <c r="W72" s="85">
        <v>9.7</v>
      </c>
      <c r="X72" s="85">
        <v>12.4</v>
      </c>
      <c r="Y72" s="85"/>
      <c r="Z72" s="85"/>
      <c r="AA72" s="85"/>
      <c r="AB72" s="85"/>
      <c r="AC72" s="85"/>
      <c r="AD72" s="85"/>
      <c r="AE72" s="85"/>
      <c r="AF72" s="85">
        <f t="shared" si="13"/>
        <v>1001.9000000000001</v>
      </c>
      <c r="AG72" s="102">
        <f t="shared" si="16"/>
        <v>4603.6</v>
      </c>
    </row>
    <row r="73" spans="1:33" s="87" customFormat="1" ht="15" customHeight="1">
      <c r="A73" s="88" t="s">
        <v>5</v>
      </c>
      <c r="B73" s="85">
        <f>39+39</f>
        <v>78</v>
      </c>
      <c r="C73" s="85">
        <v>0.10000000000000142</v>
      </c>
      <c r="D73" s="85"/>
      <c r="E73" s="85">
        <v>39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>
        <v>39</v>
      </c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78</v>
      </c>
      <c r="AG73" s="102">
        <f t="shared" si="16"/>
        <v>0.09999999999999432</v>
      </c>
    </row>
    <row r="74" spans="1:33" s="87" customFormat="1" ht="15" customHeight="1">
      <c r="A74" s="88" t="s">
        <v>2</v>
      </c>
      <c r="B74" s="85">
        <f>377.8-219.1</f>
        <v>158.70000000000002</v>
      </c>
      <c r="C74" s="85">
        <v>1276.4</v>
      </c>
      <c r="D74" s="85"/>
      <c r="E74" s="85">
        <v>35.6</v>
      </c>
      <c r="F74" s="85">
        <v>17</v>
      </c>
      <c r="G74" s="85"/>
      <c r="H74" s="85">
        <v>3.1</v>
      </c>
      <c r="I74" s="85">
        <v>2.7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>
        <v>10.4</v>
      </c>
      <c r="Y74" s="85"/>
      <c r="Z74" s="85"/>
      <c r="AA74" s="85"/>
      <c r="AB74" s="85"/>
      <c r="AC74" s="85"/>
      <c r="AD74" s="85"/>
      <c r="AE74" s="85"/>
      <c r="AF74" s="85">
        <f t="shared" si="13"/>
        <v>68.80000000000001</v>
      </c>
      <c r="AG74" s="102">
        <f t="shared" si="16"/>
        <v>1366.3000000000002</v>
      </c>
    </row>
    <row r="75" spans="1:33" s="87" customFormat="1" ht="15" customHeight="1">
      <c r="A75" s="88" t="s">
        <v>16</v>
      </c>
      <c r="B75" s="85">
        <v>93.8</v>
      </c>
      <c r="C75" s="85">
        <f>135.5-5</f>
        <v>130.5</v>
      </c>
      <c r="D75" s="85"/>
      <c r="E75" s="85">
        <v>25.3</v>
      </c>
      <c r="F75" s="85">
        <v>25.3</v>
      </c>
      <c r="G75" s="85"/>
      <c r="H75" s="85"/>
      <c r="I75" s="85">
        <v>26.4</v>
      </c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77</v>
      </c>
      <c r="AG75" s="102">
        <f t="shared" si="16"/>
        <v>147.3</v>
      </c>
    </row>
    <row r="76" spans="1:33" s="105" customFormat="1" ht="15">
      <c r="A76" s="104" t="s">
        <v>49</v>
      </c>
      <c r="B76" s="85">
        <f>118.9-339+300</f>
        <v>79.9</v>
      </c>
      <c r="C76" s="85">
        <f>444.3-300</f>
        <v>144.3</v>
      </c>
      <c r="D76" s="85"/>
      <c r="E76" s="98"/>
      <c r="F76" s="98"/>
      <c r="G76" s="98"/>
      <c r="H76" s="98"/>
      <c r="I76" s="98"/>
      <c r="J76" s="98">
        <v>49.6</v>
      </c>
      <c r="K76" s="98"/>
      <c r="L76" s="98"/>
      <c r="M76" s="98"/>
      <c r="N76" s="98"/>
      <c r="O76" s="98">
        <v>16.1</v>
      </c>
      <c r="P76" s="98"/>
      <c r="Q76" s="98"/>
      <c r="R76" s="98"/>
      <c r="S76" s="98">
        <v>2.6</v>
      </c>
      <c r="T76" s="98"/>
      <c r="U76" s="98"/>
      <c r="V76" s="98"/>
      <c r="W76" s="98">
        <v>40.7</v>
      </c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109</v>
      </c>
      <c r="AG76" s="102">
        <f t="shared" si="16"/>
        <v>115.20000000000002</v>
      </c>
    </row>
    <row r="77" spans="1:33" s="105" customFormat="1" ht="15">
      <c r="A77" s="88" t="s">
        <v>5</v>
      </c>
      <c r="B77" s="85">
        <v>85.5</v>
      </c>
      <c r="C77" s="85">
        <v>2.799999999999997</v>
      </c>
      <c r="D77" s="85"/>
      <c r="E77" s="98"/>
      <c r="F77" s="98"/>
      <c r="G77" s="98"/>
      <c r="H77" s="98"/>
      <c r="I77" s="98"/>
      <c r="J77" s="98">
        <v>34.3</v>
      </c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>
        <v>39.4</v>
      </c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73.69999999999999</v>
      </c>
      <c r="AG77" s="102">
        <f t="shared" si="16"/>
        <v>14.600000000000009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5.4</v>
      </c>
      <c r="C80" s="85">
        <v>8</v>
      </c>
      <c r="D80" s="85"/>
      <c r="E80" s="98"/>
      <c r="F80" s="98"/>
      <c r="G80" s="98"/>
      <c r="H80" s="98"/>
      <c r="I80" s="98"/>
      <c r="J80" s="98">
        <v>1.3</v>
      </c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1.3</v>
      </c>
      <c r="AG80" s="102">
        <f t="shared" si="16"/>
        <v>12.1</v>
      </c>
    </row>
    <row r="81" spans="1:35" s="105" customFormat="1" ht="15">
      <c r="A81" s="104" t="s">
        <v>50</v>
      </c>
      <c r="B81" s="85">
        <v>0</v>
      </c>
      <c r="C81" s="98">
        <v>49.7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0</v>
      </c>
      <c r="AG81" s="102">
        <f t="shared" si="16"/>
        <v>49.7</v>
      </c>
      <c r="AI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v>23.9</v>
      </c>
      <c r="C83" s="98">
        <v>21.20000000000013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0</v>
      </c>
      <c r="AG83" s="85">
        <f t="shared" si="16"/>
        <v>45.10000000000013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5798-243</f>
        <v>5555</v>
      </c>
      <c r="C89" s="85">
        <v>7995.200000000003</v>
      </c>
      <c r="D89" s="85"/>
      <c r="E89" s="85"/>
      <c r="F89" s="85"/>
      <c r="G89" s="85">
        <v>3794.2</v>
      </c>
      <c r="H89" s="85"/>
      <c r="I89" s="85"/>
      <c r="J89" s="85">
        <v>446.7</v>
      </c>
      <c r="K89" s="85">
        <v>16.6</v>
      </c>
      <c r="L89" s="85"/>
      <c r="M89" s="85"/>
      <c r="N89" s="85">
        <v>1054.9</v>
      </c>
      <c r="O89" s="85"/>
      <c r="P89" s="85">
        <v>82.8</v>
      </c>
      <c r="Q89" s="85">
        <v>239.8</v>
      </c>
      <c r="R89" s="85"/>
      <c r="S89" s="85"/>
      <c r="T89" s="85">
        <v>370.5</v>
      </c>
      <c r="U89" s="85"/>
      <c r="V89" s="85">
        <v>65.4</v>
      </c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6070.9</v>
      </c>
      <c r="AG89" s="85">
        <f t="shared" si="16"/>
        <v>7479.300000000003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/>
      <c r="J90" s="85"/>
      <c r="K90" s="85">
        <v>819</v>
      </c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>
        <v>819.1</v>
      </c>
      <c r="Z90" s="85"/>
      <c r="AA90" s="85"/>
      <c r="AB90" s="85"/>
      <c r="AC90" s="85"/>
      <c r="AD90" s="85"/>
      <c r="AE90" s="85"/>
      <c r="AF90" s="85">
        <f t="shared" si="13"/>
        <v>2457.1</v>
      </c>
      <c r="AG90" s="85">
        <f t="shared" si="16"/>
        <v>0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39181.9+600+159.4-381.7</f>
        <v>39559.600000000006</v>
      </c>
      <c r="C92" s="85">
        <v>13827.400000000005</v>
      </c>
      <c r="D92" s="85">
        <f>10846.2+206.7</f>
        <v>11052.900000000001</v>
      </c>
      <c r="E92" s="85">
        <v>4149.5</v>
      </c>
      <c r="F92" s="85">
        <v>446</v>
      </c>
      <c r="G92" s="85"/>
      <c r="H92" s="85">
        <f>3267.4+2209.3</f>
        <v>5476.700000000001</v>
      </c>
      <c r="I92" s="85">
        <f>6166.4+5954.9</f>
        <v>12121.3</v>
      </c>
      <c r="J92" s="85">
        <v>802.6</v>
      </c>
      <c r="K92" s="85"/>
      <c r="L92" s="85">
        <v>48.4</v>
      </c>
      <c r="M92" s="85"/>
      <c r="N92" s="85">
        <v>4344.9</v>
      </c>
      <c r="O92" s="85">
        <v>10032.4</v>
      </c>
      <c r="P92" s="85"/>
      <c r="Q92" s="85"/>
      <c r="R92" s="85"/>
      <c r="S92" s="85">
        <v>3485.9</v>
      </c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51960.600000000006</v>
      </c>
      <c r="AG92" s="85">
        <f t="shared" si="16"/>
        <v>1426.4000000000087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168254.1991</v>
      </c>
      <c r="C94" s="42">
        <f t="shared" si="17"/>
        <v>110056.24999999999</v>
      </c>
      <c r="D94" s="42">
        <f t="shared" si="17"/>
        <v>11052.900000000001</v>
      </c>
      <c r="E94" s="42">
        <f t="shared" si="17"/>
        <v>4444.4</v>
      </c>
      <c r="F94" s="42">
        <f t="shared" si="17"/>
        <v>2517.7</v>
      </c>
      <c r="G94" s="42">
        <f t="shared" si="17"/>
        <v>7631.4</v>
      </c>
      <c r="H94" s="42">
        <f>H10+H15+H24+H33+H47+H52+H54+H61+H62+H69+H71+H72+H76+H81+H82+H83+H88+H89+H90+H91+H40+H92+H70</f>
        <v>8241.2</v>
      </c>
      <c r="I94" s="42">
        <f t="shared" si="17"/>
        <v>12721</v>
      </c>
      <c r="J94" s="42">
        <f t="shared" si="17"/>
        <v>1814.5</v>
      </c>
      <c r="K94" s="42">
        <f t="shared" si="17"/>
        <v>5277.300000000001</v>
      </c>
      <c r="L94" s="42">
        <f t="shared" si="17"/>
        <v>32364.499999999996</v>
      </c>
      <c r="M94" s="42">
        <f t="shared" si="17"/>
        <v>10056.7</v>
      </c>
      <c r="N94" s="42">
        <f t="shared" si="17"/>
        <v>5940.5</v>
      </c>
      <c r="O94" s="42">
        <f t="shared" si="17"/>
        <v>11418.8</v>
      </c>
      <c r="P94" s="42">
        <f t="shared" si="17"/>
        <v>3279.8</v>
      </c>
      <c r="Q94" s="42">
        <f t="shared" si="17"/>
        <v>1071.3</v>
      </c>
      <c r="R94" s="42">
        <f t="shared" si="17"/>
        <v>3375.2</v>
      </c>
      <c r="S94" s="42">
        <f t="shared" si="17"/>
        <v>3850.6000000000004</v>
      </c>
      <c r="T94" s="42">
        <f t="shared" si="17"/>
        <v>2640.9</v>
      </c>
      <c r="U94" s="42">
        <f t="shared" si="17"/>
        <v>4399.6</v>
      </c>
      <c r="V94" s="42">
        <f t="shared" si="17"/>
        <v>30472.100000000006</v>
      </c>
      <c r="W94" s="42">
        <f t="shared" si="17"/>
        <v>25376.1</v>
      </c>
      <c r="X94" s="42">
        <f t="shared" si="17"/>
        <v>1915</v>
      </c>
      <c r="Y94" s="42">
        <f t="shared" si="17"/>
        <v>739.6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190601.10000000003</v>
      </c>
      <c r="AG94" s="58">
        <f>AG10+AG15+AG24+AG33+AG47+AG52+AG54+AG61+AG62+AG69+AG71+AG72+AG76+AG81+AG82+AG83+AG88+AG89+AG90+AG91+AG70+AG40+AG92</f>
        <v>87709.34909999999</v>
      </c>
    </row>
    <row r="95" spans="1:36" ht="15">
      <c r="A95" s="3" t="s">
        <v>5</v>
      </c>
      <c r="B95" s="22">
        <f aca="true" t="shared" si="18" ref="B95:AD95">B11+B17+B26+B34+B55+B63+B73+B41+B77+B48</f>
        <v>56280.460999999996</v>
      </c>
      <c r="C95" s="22">
        <f t="shared" si="18"/>
        <v>40615.8</v>
      </c>
      <c r="D95" s="22">
        <f t="shared" si="18"/>
        <v>0</v>
      </c>
      <c r="E95" s="22">
        <f t="shared" si="18"/>
        <v>65.7</v>
      </c>
      <c r="F95" s="22">
        <f t="shared" si="18"/>
        <v>60.3</v>
      </c>
      <c r="G95" s="22">
        <f t="shared" si="18"/>
        <v>11.3</v>
      </c>
      <c r="H95" s="22">
        <f t="shared" si="18"/>
        <v>16.4</v>
      </c>
      <c r="I95" s="22">
        <f t="shared" si="18"/>
        <v>0</v>
      </c>
      <c r="J95" s="22">
        <f t="shared" si="18"/>
        <v>170.39999999999998</v>
      </c>
      <c r="K95" s="22">
        <f t="shared" si="18"/>
        <v>0</v>
      </c>
      <c r="L95" s="22">
        <f t="shared" si="18"/>
        <v>26598.8</v>
      </c>
      <c r="M95" s="22">
        <f t="shared" si="18"/>
        <v>4629.8</v>
      </c>
      <c r="N95" s="22">
        <f t="shared" si="18"/>
        <v>6</v>
      </c>
      <c r="O95" s="22">
        <f t="shared" si="18"/>
        <v>97.5</v>
      </c>
      <c r="P95" s="22">
        <f t="shared" si="18"/>
        <v>0</v>
      </c>
      <c r="Q95" s="22">
        <f t="shared" si="18"/>
        <v>0</v>
      </c>
      <c r="R95" s="22">
        <f t="shared" si="18"/>
        <v>69.1</v>
      </c>
      <c r="S95" s="22">
        <f t="shared" si="18"/>
        <v>9.2</v>
      </c>
      <c r="T95" s="22">
        <f t="shared" si="18"/>
        <v>0</v>
      </c>
      <c r="U95" s="22">
        <f t="shared" si="18"/>
        <v>0</v>
      </c>
      <c r="V95" s="22">
        <f t="shared" si="18"/>
        <v>25168.899999999998</v>
      </c>
      <c r="W95" s="22">
        <f t="shared" si="18"/>
        <v>10463.5</v>
      </c>
      <c r="X95" s="22">
        <f t="shared" si="18"/>
        <v>1364.1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68731</v>
      </c>
      <c r="AG95" s="27">
        <f>B95+C95-AF95</f>
        <v>28165.261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12688.044000000005</v>
      </c>
      <c r="C96" s="22">
        <f t="shared" si="19"/>
        <v>9675.7</v>
      </c>
      <c r="D96" s="22">
        <f t="shared" si="19"/>
        <v>0</v>
      </c>
      <c r="E96" s="22">
        <f t="shared" si="19"/>
        <v>35.6</v>
      </c>
      <c r="F96" s="22">
        <f t="shared" si="19"/>
        <v>858.9</v>
      </c>
      <c r="G96" s="22">
        <f t="shared" si="19"/>
        <v>243.4</v>
      </c>
      <c r="H96" s="22">
        <f t="shared" si="19"/>
        <v>1364.2</v>
      </c>
      <c r="I96" s="22">
        <f t="shared" si="19"/>
        <v>70.9</v>
      </c>
      <c r="J96" s="22">
        <f t="shared" si="19"/>
        <v>55.3</v>
      </c>
      <c r="K96" s="22">
        <f t="shared" si="19"/>
        <v>1009.5</v>
      </c>
      <c r="L96" s="22">
        <f t="shared" si="19"/>
        <v>886.3000000000001</v>
      </c>
      <c r="M96" s="22">
        <f t="shared" si="19"/>
        <v>0</v>
      </c>
      <c r="N96" s="22">
        <f t="shared" si="19"/>
        <v>0.9</v>
      </c>
      <c r="O96" s="22">
        <f t="shared" si="19"/>
        <v>180.1</v>
      </c>
      <c r="P96" s="22">
        <f t="shared" si="19"/>
        <v>347.5</v>
      </c>
      <c r="Q96" s="22">
        <f t="shared" si="19"/>
        <v>0</v>
      </c>
      <c r="R96" s="22">
        <f t="shared" si="19"/>
        <v>593.3</v>
      </c>
      <c r="S96" s="22">
        <f t="shared" si="19"/>
        <v>0</v>
      </c>
      <c r="T96" s="22">
        <f t="shared" si="19"/>
        <v>551.1</v>
      </c>
      <c r="U96" s="22">
        <f t="shared" si="19"/>
        <v>842</v>
      </c>
      <c r="V96" s="22">
        <f t="shared" si="19"/>
        <v>1135.9</v>
      </c>
      <c r="W96" s="22">
        <f t="shared" si="19"/>
        <v>1790.1</v>
      </c>
      <c r="X96" s="22">
        <f t="shared" si="19"/>
        <v>235.8</v>
      </c>
      <c r="Y96" s="22">
        <f t="shared" si="19"/>
        <v>5.5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10206.300000000001</v>
      </c>
      <c r="AG96" s="27">
        <f>B96+C96-AF96</f>
        <v>12157.444000000005</v>
      </c>
      <c r="AJ96" s="6"/>
    </row>
    <row r="97" spans="1:36" ht="15">
      <c r="A97" s="3" t="s">
        <v>3</v>
      </c>
      <c r="B97" s="22">
        <f aca="true" t="shared" si="20" ref="B97:AA97">B18+B27+B42+B64+B78</f>
        <v>4.55</v>
      </c>
      <c r="C97" s="22">
        <f t="shared" si="20"/>
        <v>43.699999999999996</v>
      </c>
      <c r="D97" s="22">
        <f t="shared" si="20"/>
        <v>0</v>
      </c>
      <c r="E97" s="22">
        <f t="shared" si="20"/>
        <v>0</v>
      </c>
      <c r="F97" s="22">
        <f t="shared" si="20"/>
        <v>0</v>
      </c>
      <c r="G97" s="22">
        <f t="shared" si="20"/>
        <v>0</v>
      </c>
      <c r="H97" s="22">
        <f t="shared" si="20"/>
        <v>0</v>
      </c>
      <c r="I97" s="22">
        <f t="shared" si="20"/>
        <v>0</v>
      </c>
      <c r="J97" s="22">
        <f t="shared" si="20"/>
        <v>0</v>
      </c>
      <c r="K97" s="22">
        <f t="shared" si="20"/>
        <v>3.7</v>
      </c>
      <c r="L97" s="22">
        <f t="shared" si="20"/>
        <v>0</v>
      </c>
      <c r="M97" s="22">
        <f t="shared" si="20"/>
        <v>0</v>
      </c>
      <c r="N97" s="22">
        <f t="shared" si="20"/>
        <v>0</v>
      </c>
      <c r="O97" s="22">
        <f t="shared" si="20"/>
        <v>4.5</v>
      </c>
      <c r="P97" s="22">
        <f t="shared" si="20"/>
        <v>1.4</v>
      </c>
      <c r="Q97" s="22">
        <f t="shared" si="20"/>
        <v>0</v>
      </c>
      <c r="R97" s="22">
        <f t="shared" si="20"/>
        <v>1.5</v>
      </c>
      <c r="S97" s="22">
        <f t="shared" si="20"/>
        <v>0</v>
      </c>
      <c r="T97" s="22">
        <f t="shared" si="20"/>
        <v>0.9</v>
      </c>
      <c r="U97" s="22">
        <f t="shared" si="20"/>
        <v>0.7</v>
      </c>
      <c r="V97" s="22">
        <f t="shared" si="20"/>
        <v>1.7</v>
      </c>
      <c r="W97" s="22">
        <f t="shared" si="20"/>
        <v>1.6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15.999999999999998</v>
      </c>
      <c r="AG97" s="27">
        <f>B97+C97-AF97</f>
        <v>32.24999999999999</v>
      </c>
      <c r="AJ97" s="6"/>
    </row>
    <row r="98" spans="1:36" ht="15">
      <c r="A98" s="3" t="s">
        <v>1</v>
      </c>
      <c r="B98" s="22">
        <f aca="true" t="shared" si="21" ref="B98:AD98">B19+B28+B65+B35+B43+B56+B79</f>
        <v>3445.494</v>
      </c>
      <c r="C98" s="22">
        <f t="shared" si="21"/>
        <v>2854.899999999999</v>
      </c>
      <c r="D98" s="22">
        <f t="shared" si="21"/>
        <v>0</v>
      </c>
      <c r="E98" s="22">
        <f t="shared" si="21"/>
        <v>0</v>
      </c>
      <c r="F98" s="22">
        <f t="shared" si="21"/>
        <v>0</v>
      </c>
      <c r="G98" s="22">
        <f t="shared" si="21"/>
        <v>796</v>
      </c>
      <c r="H98" s="22">
        <f t="shared" si="21"/>
        <v>209.7</v>
      </c>
      <c r="I98" s="22">
        <f t="shared" si="21"/>
        <v>0</v>
      </c>
      <c r="J98" s="22">
        <f t="shared" si="21"/>
        <v>0</v>
      </c>
      <c r="K98" s="22">
        <f t="shared" si="21"/>
        <v>676.3</v>
      </c>
      <c r="L98" s="22">
        <f t="shared" si="21"/>
        <v>74.4</v>
      </c>
      <c r="M98" s="22">
        <f t="shared" si="21"/>
        <v>364.5</v>
      </c>
      <c r="N98" s="22">
        <f t="shared" si="21"/>
        <v>0</v>
      </c>
      <c r="O98" s="22">
        <f t="shared" si="21"/>
        <v>359.3</v>
      </c>
      <c r="P98" s="22">
        <f t="shared" si="21"/>
        <v>185.7</v>
      </c>
      <c r="Q98" s="22">
        <f t="shared" si="21"/>
        <v>0.2</v>
      </c>
      <c r="R98" s="22">
        <f t="shared" si="21"/>
        <v>230.10000000000002</v>
      </c>
      <c r="S98" s="22">
        <f t="shared" si="21"/>
        <v>146.3</v>
      </c>
      <c r="T98" s="22">
        <f t="shared" si="21"/>
        <v>459.9</v>
      </c>
      <c r="U98" s="22">
        <f t="shared" si="21"/>
        <v>131.1</v>
      </c>
      <c r="V98" s="22">
        <f t="shared" si="21"/>
        <v>156.1</v>
      </c>
      <c r="W98" s="22">
        <f t="shared" si="21"/>
        <v>203.6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3993.2</v>
      </c>
      <c r="AG98" s="27">
        <f>B98+C98-AF98</f>
        <v>2307.1939999999995</v>
      </c>
      <c r="AJ98" s="6"/>
    </row>
    <row r="99" spans="1:36" ht="15">
      <c r="A99" s="3" t="s">
        <v>16</v>
      </c>
      <c r="B99" s="22">
        <f aca="true" t="shared" si="22" ref="B99:X99">B21+B30+B49+B37+B58+B13+B75+B67</f>
        <v>1801.3</v>
      </c>
      <c r="C99" s="22">
        <f t="shared" si="22"/>
        <v>2233.1</v>
      </c>
      <c r="D99" s="22">
        <f t="shared" si="22"/>
        <v>0</v>
      </c>
      <c r="E99" s="22">
        <f t="shared" si="22"/>
        <v>25.3</v>
      </c>
      <c r="F99" s="22">
        <f t="shared" si="22"/>
        <v>25.3</v>
      </c>
      <c r="G99" s="22">
        <f t="shared" si="22"/>
        <v>24.8</v>
      </c>
      <c r="H99" s="22">
        <f t="shared" si="22"/>
        <v>0</v>
      </c>
      <c r="I99" s="22">
        <f t="shared" si="22"/>
        <v>160.20000000000002</v>
      </c>
      <c r="J99" s="22">
        <f t="shared" si="22"/>
        <v>48.3</v>
      </c>
      <c r="K99" s="22">
        <f t="shared" si="22"/>
        <v>1.2</v>
      </c>
      <c r="L99" s="22">
        <f t="shared" si="22"/>
        <v>7.6</v>
      </c>
      <c r="M99" s="22">
        <f t="shared" si="22"/>
        <v>0</v>
      </c>
      <c r="N99" s="22">
        <f t="shared" si="22"/>
        <v>0</v>
      </c>
      <c r="O99" s="22">
        <f t="shared" si="22"/>
        <v>419</v>
      </c>
      <c r="P99" s="22">
        <f t="shared" si="22"/>
        <v>0</v>
      </c>
      <c r="Q99" s="22">
        <f t="shared" si="22"/>
        <v>0</v>
      </c>
      <c r="R99" s="22">
        <f t="shared" si="22"/>
        <v>190.5</v>
      </c>
      <c r="S99" s="22">
        <f t="shared" si="22"/>
        <v>0</v>
      </c>
      <c r="T99" s="22">
        <f t="shared" si="22"/>
        <v>160.4</v>
      </c>
      <c r="U99" s="22">
        <f t="shared" si="22"/>
        <v>547.3</v>
      </c>
      <c r="V99" s="22">
        <f t="shared" si="22"/>
        <v>0</v>
      </c>
      <c r="W99" s="22">
        <f t="shared" si="22"/>
        <v>6.9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1616.8000000000002</v>
      </c>
      <c r="AG99" s="27">
        <f>B99+C99-AF99</f>
        <v>2417.5999999999995</v>
      </c>
      <c r="AJ99" s="6"/>
    </row>
    <row r="100" spans="1:36" ht="13.5">
      <c r="A100" s="1" t="s">
        <v>35</v>
      </c>
      <c r="B100" s="2">
        <f aca="true" t="shared" si="24" ref="B100:AD100">B94-B95-B96-B97-B98-B99</f>
        <v>94034.35009999998</v>
      </c>
      <c r="C100" s="2">
        <f t="shared" si="24"/>
        <v>54633.04999999999</v>
      </c>
      <c r="D100" s="2">
        <f t="shared" si="24"/>
        <v>11052.900000000001</v>
      </c>
      <c r="E100" s="2">
        <f t="shared" si="24"/>
        <v>4317.799999999999</v>
      </c>
      <c r="F100" s="2">
        <f t="shared" si="24"/>
        <v>1573.1999999999996</v>
      </c>
      <c r="G100" s="2">
        <f t="shared" si="24"/>
        <v>6555.9</v>
      </c>
      <c r="H100" s="2">
        <f t="shared" si="24"/>
        <v>6650.9000000000015</v>
      </c>
      <c r="I100" s="2">
        <f t="shared" si="24"/>
        <v>12489.9</v>
      </c>
      <c r="J100" s="2">
        <f t="shared" si="24"/>
        <v>1540.5</v>
      </c>
      <c r="K100" s="2">
        <f t="shared" si="24"/>
        <v>3586.6000000000013</v>
      </c>
      <c r="L100" s="2">
        <f t="shared" si="24"/>
        <v>4797.399999999997</v>
      </c>
      <c r="M100" s="2">
        <f t="shared" si="24"/>
        <v>5062.400000000001</v>
      </c>
      <c r="N100" s="2">
        <f t="shared" si="24"/>
        <v>5933.6</v>
      </c>
      <c r="O100" s="2">
        <f t="shared" si="24"/>
        <v>10358.4</v>
      </c>
      <c r="P100" s="2">
        <f t="shared" si="24"/>
        <v>2745.2000000000003</v>
      </c>
      <c r="Q100" s="2">
        <f t="shared" si="24"/>
        <v>1071.1</v>
      </c>
      <c r="R100" s="2">
        <f t="shared" si="24"/>
        <v>2290.7000000000003</v>
      </c>
      <c r="S100" s="2">
        <f t="shared" si="24"/>
        <v>3695.1000000000004</v>
      </c>
      <c r="T100" s="2">
        <f t="shared" si="24"/>
        <v>1468.6</v>
      </c>
      <c r="U100" s="2">
        <f t="shared" si="24"/>
        <v>2878.500000000001</v>
      </c>
      <c r="V100" s="2">
        <f t="shared" si="24"/>
        <v>4009.5000000000086</v>
      </c>
      <c r="W100" s="2">
        <f t="shared" si="24"/>
        <v>12910.399999999998</v>
      </c>
      <c r="X100" s="2">
        <f t="shared" si="24"/>
        <v>315.1000000000001</v>
      </c>
      <c r="Y100" s="2">
        <f t="shared" si="24"/>
        <v>734.1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106037.80000000003</v>
      </c>
      <c r="AG100" s="2">
        <f>AG94-AG95-AG96-AG97-AG98-AG99</f>
        <v>42629.60009999999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06" sqref="L10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2" max="12" width="9.25390625" style="0" bestFit="1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8">
        <v>28</v>
      </c>
      <c r="W4" s="8">
        <v>29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21603.1</v>
      </c>
      <c r="D7" s="45"/>
      <c r="E7" s="46"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71397.00000000001</v>
      </c>
      <c r="C8" s="40">
        <v>20903.669999999984</v>
      </c>
      <c r="D8" s="43">
        <v>13389.2</v>
      </c>
      <c r="E8" s="55">
        <v>5785.2</v>
      </c>
      <c r="F8" s="55">
        <v>2073.9</v>
      </c>
      <c r="G8" s="55">
        <v>4638.2</v>
      </c>
      <c r="H8" s="55">
        <v>5209.6</v>
      </c>
      <c r="I8" s="55">
        <v>8067.5</v>
      </c>
      <c r="J8" s="56">
        <v>5644.5</v>
      </c>
      <c r="K8" s="55">
        <v>2092</v>
      </c>
      <c r="L8" s="55">
        <v>2166.8</v>
      </c>
      <c r="M8" s="55">
        <v>2529.9</v>
      </c>
      <c r="N8" s="55">
        <v>1743.4</v>
      </c>
      <c r="O8" s="55">
        <v>9230.1</v>
      </c>
      <c r="P8" s="55">
        <v>4016.1</v>
      </c>
      <c r="Q8" s="55">
        <v>4810.6</v>
      </c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165220.20999999996</v>
      </c>
      <c r="C9" s="24">
        <f t="shared" si="0"/>
        <v>87709.34909999999</v>
      </c>
      <c r="D9" s="24">
        <f t="shared" si="0"/>
        <v>1079.7</v>
      </c>
      <c r="E9" s="24">
        <f t="shared" si="0"/>
        <v>5672.369999999999</v>
      </c>
      <c r="F9" s="24">
        <f t="shared" si="0"/>
        <v>3145.1</v>
      </c>
      <c r="G9" s="24">
        <f t="shared" si="0"/>
        <v>7842.199999999999</v>
      </c>
      <c r="H9" s="24">
        <f>H10+H15+H24+H33+H47+H52+H54+H61+H62+H71+H72+H88+H76+H81+H83+H82+H69+H89+H90+H91+H70+H40+H92</f>
        <v>7923.299999999999</v>
      </c>
      <c r="I9" s="24">
        <f t="shared" si="0"/>
        <v>9180.3</v>
      </c>
      <c r="J9" s="24">
        <f t="shared" si="0"/>
        <v>11723.400000000001</v>
      </c>
      <c r="K9" s="24">
        <f t="shared" si="0"/>
        <v>12717.300000000001</v>
      </c>
      <c r="L9" s="24">
        <f t="shared" si="0"/>
        <v>29405.599999999995</v>
      </c>
      <c r="M9" s="24">
        <f t="shared" si="0"/>
        <v>2573.4</v>
      </c>
      <c r="N9" s="24">
        <f t="shared" si="0"/>
        <v>6744.299999999999</v>
      </c>
      <c r="O9" s="24">
        <f t="shared" si="0"/>
        <v>3546.2</v>
      </c>
      <c r="P9" s="24">
        <f t="shared" si="0"/>
        <v>4486.9</v>
      </c>
      <c r="Q9" s="24">
        <f t="shared" si="0"/>
        <v>5670.500000000001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111710.56999999999</v>
      </c>
      <c r="AG9" s="50">
        <f>AG10+AG15+AG24+AG33+AG47+AG52+AG54+AG61+AG62+AG71+AG72+AG76+AG88+AG81+AG83+AG82+AG69+AG89+AG91+AG90+AG70+AG40+AG92</f>
        <v>141218.9891</v>
      </c>
      <c r="AH9" s="49"/>
      <c r="AI9" s="49"/>
    </row>
    <row r="10" spans="1:33" s="87" customFormat="1" ht="15">
      <c r="A10" s="84" t="s">
        <v>4</v>
      </c>
      <c r="B10" s="85">
        <f>11054.3+283.1</f>
        <v>11337.4</v>
      </c>
      <c r="C10" s="85">
        <v>9623.082099999996</v>
      </c>
      <c r="D10" s="85"/>
      <c r="E10" s="85">
        <v>105.8</v>
      </c>
      <c r="F10" s="85">
        <v>59.7</v>
      </c>
      <c r="G10" s="85">
        <v>55.8</v>
      </c>
      <c r="H10" s="85">
        <v>883.4</v>
      </c>
      <c r="I10" s="85">
        <v>158.4</v>
      </c>
      <c r="J10" s="86">
        <v>171.4</v>
      </c>
      <c r="K10" s="85">
        <v>32.9</v>
      </c>
      <c r="L10" s="85">
        <f>6448.5+12.2</f>
        <v>6460.7</v>
      </c>
      <c r="M10" s="85">
        <v>178</v>
      </c>
      <c r="N10" s="85">
        <v>98.2</v>
      </c>
      <c r="O10" s="85">
        <v>108.6</v>
      </c>
      <c r="P10" s="85">
        <v>100.7</v>
      </c>
      <c r="Q10" s="85">
        <v>446.1</v>
      </c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>
        <f aca="true" t="shared" si="1" ref="AF10:AF59">SUM(D10:AD10)</f>
        <v>8859.700000000003</v>
      </c>
      <c r="AG10" s="85">
        <f>B10+C10-AF10</f>
        <v>12100.782099999991</v>
      </c>
    </row>
    <row r="11" spans="1:33" s="87" customFormat="1" ht="15">
      <c r="A11" s="88" t="s">
        <v>5</v>
      </c>
      <c r="B11" s="86">
        <f>10415.9-19.2</f>
        <v>10396.699999999999</v>
      </c>
      <c r="C11" s="85">
        <v>7407.699999999997</v>
      </c>
      <c r="D11" s="85"/>
      <c r="E11" s="85">
        <v>33</v>
      </c>
      <c r="F11" s="85">
        <v>50.6</v>
      </c>
      <c r="G11" s="85">
        <v>41.7</v>
      </c>
      <c r="H11" s="85">
        <v>864.1</v>
      </c>
      <c r="I11" s="85"/>
      <c r="J11" s="85">
        <v>151.6</v>
      </c>
      <c r="K11" s="85">
        <v>13.8</v>
      </c>
      <c r="L11" s="85">
        <f>6376.4+12.2</f>
        <v>6388.599999999999</v>
      </c>
      <c r="M11" s="85"/>
      <c r="N11" s="85"/>
      <c r="O11" s="85">
        <v>2.1</v>
      </c>
      <c r="P11" s="85"/>
      <c r="Q11" s="85">
        <v>278.1</v>
      </c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>
        <f t="shared" si="1"/>
        <v>7823.6</v>
      </c>
      <c r="AG11" s="85">
        <f>B11+C11-AF11</f>
        <v>9980.799999999994</v>
      </c>
    </row>
    <row r="12" spans="1:33" s="87" customFormat="1" ht="15">
      <c r="A12" s="88" t="s">
        <v>2</v>
      </c>
      <c r="B12" s="86">
        <v>327.0999999999999</v>
      </c>
      <c r="C12" s="85">
        <v>415.3999999999999</v>
      </c>
      <c r="D12" s="85"/>
      <c r="E12" s="85">
        <v>9.8</v>
      </c>
      <c r="F12" s="85"/>
      <c r="G12" s="85"/>
      <c r="H12" s="85"/>
      <c r="I12" s="85">
        <v>28.5</v>
      </c>
      <c r="J12" s="85"/>
      <c r="K12" s="85"/>
      <c r="L12" s="85">
        <v>1</v>
      </c>
      <c r="M12" s="85"/>
      <c r="N12" s="85">
        <v>1</v>
      </c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>
        <f t="shared" si="1"/>
        <v>40.3</v>
      </c>
      <c r="AG12" s="85">
        <f>B12+C12-AF12</f>
        <v>702.1999999999998</v>
      </c>
    </row>
    <row r="13" spans="1:33" s="87" customFormat="1" ht="15" hidden="1">
      <c r="A13" s="88" t="s">
        <v>16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>
        <f t="shared" si="1"/>
        <v>0</v>
      </c>
      <c r="AG13" s="85">
        <f>B13+C13-AF13</f>
        <v>0</v>
      </c>
    </row>
    <row r="14" spans="1:33" s="87" customFormat="1" ht="15">
      <c r="A14" s="88" t="s">
        <v>23</v>
      </c>
      <c r="B14" s="85">
        <f>B10-B11-B12</f>
        <v>613.6000000000008</v>
      </c>
      <c r="C14" s="85">
        <f>C10-C11-C12</f>
        <v>1799.982099999999</v>
      </c>
      <c r="D14" s="85">
        <f aca="true" t="shared" si="2" ref="D14:AD14">D10-D11-D12</f>
        <v>0</v>
      </c>
      <c r="E14" s="85">
        <f t="shared" si="2"/>
        <v>63</v>
      </c>
      <c r="F14" s="85">
        <f t="shared" si="2"/>
        <v>9.100000000000001</v>
      </c>
      <c r="G14" s="85">
        <f t="shared" si="2"/>
        <v>14.099999999999994</v>
      </c>
      <c r="H14" s="85">
        <f t="shared" si="2"/>
        <v>19.299999999999955</v>
      </c>
      <c r="I14" s="85">
        <f t="shared" si="2"/>
        <v>129.9</v>
      </c>
      <c r="J14" s="85">
        <f t="shared" si="2"/>
        <v>19.80000000000001</v>
      </c>
      <c r="K14" s="85">
        <f t="shared" si="2"/>
        <v>19.099999999999998</v>
      </c>
      <c r="L14" s="85">
        <f t="shared" si="2"/>
        <v>71.10000000000036</v>
      </c>
      <c r="M14" s="85">
        <f t="shared" si="2"/>
        <v>178</v>
      </c>
      <c r="N14" s="85">
        <f t="shared" si="2"/>
        <v>97.2</v>
      </c>
      <c r="O14" s="85">
        <f t="shared" si="2"/>
        <v>106.5</v>
      </c>
      <c r="P14" s="85">
        <f t="shared" si="2"/>
        <v>100.7</v>
      </c>
      <c r="Q14" s="85">
        <f t="shared" si="2"/>
        <v>168</v>
      </c>
      <c r="R14" s="85">
        <f t="shared" si="2"/>
        <v>0</v>
      </c>
      <c r="S14" s="85">
        <f t="shared" si="2"/>
        <v>0</v>
      </c>
      <c r="T14" s="85">
        <f t="shared" si="2"/>
        <v>0</v>
      </c>
      <c r="U14" s="85">
        <f t="shared" si="2"/>
        <v>0</v>
      </c>
      <c r="V14" s="85">
        <f t="shared" si="2"/>
        <v>0</v>
      </c>
      <c r="W14" s="85">
        <f t="shared" si="2"/>
        <v>0</v>
      </c>
      <c r="X14" s="85">
        <f t="shared" si="2"/>
        <v>0</v>
      </c>
      <c r="Y14" s="85">
        <f t="shared" si="2"/>
        <v>0</v>
      </c>
      <c r="Z14" s="85">
        <f t="shared" si="2"/>
        <v>0</v>
      </c>
      <c r="AA14" s="85">
        <f t="shared" si="2"/>
        <v>0</v>
      </c>
      <c r="AB14" s="85">
        <f t="shared" si="2"/>
        <v>0</v>
      </c>
      <c r="AC14" s="85">
        <f t="shared" si="2"/>
        <v>0</v>
      </c>
      <c r="AD14" s="85">
        <f t="shared" si="2"/>
        <v>0</v>
      </c>
      <c r="AE14" s="85"/>
      <c r="AF14" s="85">
        <f t="shared" si="1"/>
        <v>995.8000000000004</v>
      </c>
      <c r="AG14" s="85">
        <f>AG10-AG11-AG12-AG13</f>
        <v>1417.7820999999976</v>
      </c>
    </row>
    <row r="15" spans="1:33" s="87" customFormat="1" ht="15" customHeight="1">
      <c r="A15" s="84" t="s">
        <v>6</v>
      </c>
      <c r="B15" s="89">
        <f>57928.3+683.4</f>
        <v>58611.700000000004</v>
      </c>
      <c r="C15" s="85">
        <v>34664.75000000001</v>
      </c>
      <c r="D15" s="90"/>
      <c r="E15" s="90">
        <f>22.9+0.3</f>
        <v>23.2</v>
      </c>
      <c r="F15" s="85">
        <v>2460.1</v>
      </c>
      <c r="G15" s="85">
        <v>406.8</v>
      </c>
      <c r="H15" s="85">
        <v>2483.8</v>
      </c>
      <c r="I15" s="85">
        <v>351.5</v>
      </c>
      <c r="J15" s="85">
        <v>945.2</v>
      </c>
      <c r="K15" s="85">
        <f>484+4.9</f>
        <v>488.9</v>
      </c>
      <c r="L15" s="85">
        <f>9433.8+7959.3</f>
        <v>17393.1</v>
      </c>
      <c r="M15" s="85"/>
      <c r="N15" s="85">
        <f>1743.3+1172.4</f>
        <v>2915.7</v>
      </c>
      <c r="O15" s="85">
        <v>553.6</v>
      </c>
      <c r="P15" s="85">
        <f>943.3+510</f>
        <v>1453.3</v>
      </c>
      <c r="Q15" s="85">
        <f>1485.3+170</f>
        <v>1655.3</v>
      </c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>
        <f t="shared" si="1"/>
        <v>31130.499999999996</v>
      </c>
      <c r="AG15" s="85">
        <f>B15+C15-AF15</f>
        <v>62145.95000000001</v>
      </c>
    </row>
    <row r="16" spans="1:34" s="96" customFormat="1" ht="15" customHeight="1">
      <c r="A16" s="91" t="s">
        <v>38</v>
      </c>
      <c r="B16" s="92">
        <v>21751.29999999999</v>
      </c>
      <c r="C16" s="93">
        <v>15922.400000000001</v>
      </c>
      <c r="D16" s="94"/>
      <c r="E16" s="94">
        <v>0.3</v>
      </c>
      <c r="F16" s="93"/>
      <c r="G16" s="93"/>
      <c r="H16" s="93"/>
      <c r="I16" s="93"/>
      <c r="J16" s="93"/>
      <c r="K16" s="93">
        <v>4.9</v>
      </c>
      <c r="L16" s="93">
        <v>7959.3</v>
      </c>
      <c r="M16" s="93"/>
      <c r="N16" s="93">
        <v>1172.4</v>
      </c>
      <c r="O16" s="93"/>
      <c r="P16" s="93">
        <v>510</v>
      </c>
      <c r="Q16" s="93">
        <v>170</v>
      </c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4">
        <f t="shared" si="1"/>
        <v>9816.9</v>
      </c>
      <c r="AG16" s="94">
        <f aca="true" t="shared" si="3" ref="AG16:AG31">B16+C16-AF16</f>
        <v>27856.79999999999</v>
      </c>
      <c r="AH16" s="95"/>
    </row>
    <row r="17" spans="1:34" s="87" customFormat="1" ht="15">
      <c r="A17" s="88" t="s">
        <v>5</v>
      </c>
      <c r="B17" s="89">
        <f>37703.3+263.9</f>
        <v>37967.200000000004</v>
      </c>
      <c r="C17" s="85">
        <v>20019.6</v>
      </c>
      <c r="D17" s="85"/>
      <c r="E17" s="85">
        <v>23.2</v>
      </c>
      <c r="F17" s="85"/>
      <c r="G17" s="85"/>
      <c r="H17" s="85"/>
      <c r="I17" s="85"/>
      <c r="J17" s="85"/>
      <c r="K17" s="85"/>
      <c r="L17" s="85">
        <f>9163.8+7959.3</f>
        <v>17123.1</v>
      </c>
      <c r="M17" s="85"/>
      <c r="N17" s="85">
        <v>10.6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>
        <f t="shared" si="1"/>
        <v>17156.899999999998</v>
      </c>
      <c r="AG17" s="85">
        <f t="shared" si="3"/>
        <v>40829.90000000001</v>
      </c>
      <c r="AH17" s="97"/>
    </row>
    <row r="18" spans="1:35" s="87" customFormat="1" ht="15">
      <c r="A18" s="88" t="s">
        <v>3</v>
      </c>
      <c r="B18" s="89">
        <v>1</v>
      </c>
      <c r="C18" s="85">
        <v>28.3</v>
      </c>
      <c r="D18" s="85"/>
      <c r="E18" s="85"/>
      <c r="F18" s="85"/>
      <c r="G18" s="85"/>
      <c r="H18" s="85">
        <v>1.2</v>
      </c>
      <c r="I18" s="85"/>
      <c r="J18" s="85"/>
      <c r="K18" s="85"/>
      <c r="L18" s="85"/>
      <c r="M18" s="85"/>
      <c r="N18" s="85">
        <v>2.5</v>
      </c>
      <c r="O18" s="85"/>
      <c r="P18" s="85">
        <v>2.2</v>
      </c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>
        <f t="shared" si="1"/>
        <v>5.9</v>
      </c>
      <c r="AG18" s="85">
        <f t="shared" si="3"/>
        <v>23.4</v>
      </c>
      <c r="AH18" s="97"/>
      <c r="AI18" s="97"/>
    </row>
    <row r="19" spans="1:33" s="87" customFormat="1" ht="15">
      <c r="A19" s="88" t="s">
        <v>1</v>
      </c>
      <c r="B19" s="89">
        <v>3513.300000000003</v>
      </c>
      <c r="C19" s="85">
        <v>2179.6000000000004</v>
      </c>
      <c r="D19" s="85"/>
      <c r="E19" s="85"/>
      <c r="F19" s="85">
        <v>302.7</v>
      </c>
      <c r="G19" s="85">
        <v>315.4</v>
      </c>
      <c r="H19" s="85">
        <v>681.7</v>
      </c>
      <c r="I19" s="85">
        <v>348.4</v>
      </c>
      <c r="J19" s="85">
        <v>9.6</v>
      </c>
      <c r="K19" s="85">
        <v>187.6</v>
      </c>
      <c r="L19" s="85">
        <v>111.4</v>
      </c>
      <c r="M19" s="85"/>
      <c r="N19" s="85">
        <v>324.6</v>
      </c>
      <c r="O19" s="85">
        <v>109.5</v>
      </c>
      <c r="P19" s="85">
        <v>191</v>
      </c>
      <c r="Q19" s="85">
        <v>491.8</v>
      </c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>
        <f t="shared" si="1"/>
        <v>3073.7</v>
      </c>
      <c r="AG19" s="85">
        <f t="shared" si="3"/>
        <v>2619.2000000000035</v>
      </c>
    </row>
    <row r="20" spans="1:33" s="87" customFormat="1" ht="15">
      <c r="A20" s="88" t="s">
        <v>2</v>
      </c>
      <c r="B20" s="85">
        <f>11348.7-981.1</f>
        <v>10367.6</v>
      </c>
      <c r="C20" s="85">
        <v>8688.000000000004</v>
      </c>
      <c r="D20" s="85"/>
      <c r="E20" s="85"/>
      <c r="F20" s="85">
        <v>2019.7</v>
      </c>
      <c r="G20" s="85"/>
      <c r="H20" s="85">
        <v>1476.9</v>
      </c>
      <c r="I20" s="85">
        <v>3.1</v>
      </c>
      <c r="J20" s="85">
        <v>360.3</v>
      </c>
      <c r="K20" s="85">
        <v>146.4</v>
      </c>
      <c r="L20" s="85">
        <v>146.2</v>
      </c>
      <c r="M20" s="85"/>
      <c r="N20" s="85">
        <v>1008.6</v>
      </c>
      <c r="O20" s="85">
        <v>329.9</v>
      </c>
      <c r="P20" s="85">
        <v>515.8</v>
      </c>
      <c r="Q20" s="85">
        <v>708.7</v>
      </c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>
        <f t="shared" si="1"/>
        <v>6715.6</v>
      </c>
      <c r="AG20" s="85">
        <f t="shared" si="3"/>
        <v>12340.000000000005</v>
      </c>
    </row>
    <row r="21" spans="1:33" s="87" customFormat="1" ht="15">
      <c r="A21" s="88" t="s">
        <v>16</v>
      </c>
      <c r="B21" s="85">
        <f>617.3+386.7</f>
        <v>1004</v>
      </c>
      <c r="C21" s="85">
        <v>241</v>
      </c>
      <c r="D21" s="85"/>
      <c r="E21" s="85"/>
      <c r="F21" s="85"/>
      <c r="G21" s="85"/>
      <c r="H21" s="85">
        <v>3.8</v>
      </c>
      <c r="I21" s="85"/>
      <c r="J21" s="85"/>
      <c r="K21" s="85">
        <v>5.4</v>
      </c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>
        <f t="shared" si="1"/>
        <v>9.2</v>
      </c>
      <c r="AG21" s="85">
        <f t="shared" si="3"/>
        <v>1235.8</v>
      </c>
    </row>
    <row r="22" spans="1:33" s="87" customFormat="1" ht="15" hidden="1">
      <c r="A22" s="88" t="s">
        <v>15</v>
      </c>
      <c r="B22" s="90"/>
      <c r="C22" s="85">
        <v>0</v>
      </c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>
        <f t="shared" si="1"/>
        <v>0</v>
      </c>
      <c r="AG22" s="85">
        <f t="shared" si="3"/>
        <v>0</v>
      </c>
    </row>
    <row r="23" spans="1:33" s="87" customFormat="1" ht="15">
      <c r="A23" s="88" t="s">
        <v>23</v>
      </c>
      <c r="B23" s="85">
        <f aca="true" t="shared" si="4" ref="B23:AD23">B15-B17-B18-B19-B20-B21-B22</f>
        <v>5758.599999999997</v>
      </c>
      <c r="C23" s="85">
        <f t="shared" si="4"/>
        <v>3508.2500000000055</v>
      </c>
      <c r="D23" s="85">
        <f t="shared" si="4"/>
        <v>0</v>
      </c>
      <c r="E23" s="85">
        <f t="shared" si="4"/>
        <v>0</v>
      </c>
      <c r="F23" s="85">
        <f t="shared" si="4"/>
        <v>137.70000000000005</v>
      </c>
      <c r="G23" s="85">
        <f t="shared" si="4"/>
        <v>91.40000000000003</v>
      </c>
      <c r="H23" s="85">
        <f t="shared" si="4"/>
        <v>320.2000000000002</v>
      </c>
      <c r="I23" s="85">
        <f t="shared" si="4"/>
        <v>2.2648549702353193E-14</v>
      </c>
      <c r="J23" s="85">
        <f t="shared" si="4"/>
        <v>575.3</v>
      </c>
      <c r="K23" s="85">
        <f t="shared" si="4"/>
        <v>149.49999999999994</v>
      </c>
      <c r="L23" s="85">
        <f t="shared" si="4"/>
        <v>12.400000000000006</v>
      </c>
      <c r="M23" s="85">
        <f t="shared" si="4"/>
        <v>0</v>
      </c>
      <c r="N23" s="85">
        <f>N15-N17-N18-N19-N20-N21-N22</f>
        <v>1569.4</v>
      </c>
      <c r="O23" s="85">
        <f t="shared" si="4"/>
        <v>114.20000000000005</v>
      </c>
      <c r="P23" s="85">
        <f t="shared" si="4"/>
        <v>744.3</v>
      </c>
      <c r="Q23" s="85">
        <f t="shared" si="4"/>
        <v>454.79999999999995</v>
      </c>
      <c r="R23" s="85">
        <f t="shared" si="4"/>
        <v>0</v>
      </c>
      <c r="S23" s="85">
        <f t="shared" si="4"/>
        <v>0</v>
      </c>
      <c r="T23" s="85">
        <f t="shared" si="4"/>
        <v>0</v>
      </c>
      <c r="U23" s="85">
        <f t="shared" si="4"/>
        <v>0</v>
      </c>
      <c r="V23" s="85">
        <f t="shared" si="4"/>
        <v>0</v>
      </c>
      <c r="W23" s="85">
        <f t="shared" si="4"/>
        <v>0</v>
      </c>
      <c r="X23" s="85">
        <f t="shared" si="4"/>
        <v>0</v>
      </c>
      <c r="Y23" s="85">
        <f t="shared" si="4"/>
        <v>0</v>
      </c>
      <c r="Z23" s="85">
        <f t="shared" si="4"/>
        <v>0</v>
      </c>
      <c r="AA23" s="85">
        <f t="shared" si="4"/>
        <v>0</v>
      </c>
      <c r="AB23" s="85">
        <f t="shared" si="4"/>
        <v>0</v>
      </c>
      <c r="AC23" s="85">
        <f t="shared" si="4"/>
        <v>0</v>
      </c>
      <c r="AD23" s="85">
        <f t="shared" si="4"/>
        <v>0</v>
      </c>
      <c r="AE23" s="85"/>
      <c r="AF23" s="85">
        <f t="shared" si="1"/>
        <v>4169.200000000001</v>
      </c>
      <c r="AG23" s="85">
        <f t="shared" si="3"/>
        <v>5097.6500000000015</v>
      </c>
    </row>
    <row r="24" spans="1:36" s="87" customFormat="1" ht="15" customHeight="1">
      <c r="A24" s="84" t="s">
        <v>7</v>
      </c>
      <c r="B24" s="85">
        <f>30255.8+11.4</f>
        <v>30267.2</v>
      </c>
      <c r="C24" s="85">
        <v>14349.7</v>
      </c>
      <c r="D24" s="85"/>
      <c r="E24" s="85"/>
      <c r="F24" s="85">
        <f>31.2+74.1</f>
        <v>105.3</v>
      </c>
      <c r="G24" s="85">
        <f>1499.1+685.3</f>
        <v>2184.3999999999996</v>
      </c>
      <c r="H24" s="85">
        <v>1.4</v>
      </c>
      <c r="I24" s="85">
        <f>1528.3+498.1</f>
        <v>2026.4</v>
      </c>
      <c r="J24" s="85">
        <f>339.8+5947</f>
        <v>6286.8</v>
      </c>
      <c r="K24" s="85">
        <v>3880.7</v>
      </c>
      <c r="L24" s="85">
        <f>667.4+959.6</f>
        <v>1627</v>
      </c>
      <c r="M24" s="85"/>
      <c r="N24" s="85">
        <f>2564.3+743</f>
        <v>3307.3</v>
      </c>
      <c r="O24" s="85">
        <v>31.1</v>
      </c>
      <c r="P24" s="85">
        <f>1170.2+538.4</f>
        <v>1708.6</v>
      </c>
      <c r="Q24" s="85">
        <v>857.2</v>
      </c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>
        <f t="shared" si="1"/>
        <v>22016.199999999997</v>
      </c>
      <c r="AG24" s="85">
        <f t="shared" si="3"/>
        <v>22600.700000000004</v>
      </c>
      <c r="AJ24" s="97"/>
    </row>
    <row r="25" spans="1:34" s="96" customFormat="1" ht="15" customHeight="1">
      <c r="A25" s="91" t="s">
        <v>39</v>
      </c>
      <c r="B25" s="93">
        <v>19856.29999999999</v>
      </c>
      <c r="C25" s="93">
        <v>60.80000000000291</v>
      </c>
      <c r="D25" s="93"/>
      <c r="E25" s="93"/>
      <c r="F25" s="93">
        <v>74.1</v>
      </c>
      <c r="G25" s="93">
        <v>685.3</v>
      </c>
      <c r="H25" s="93">
        <v>1.4</v>
      </c>
      <c r="I25" s="93">
        <v>498.1</v>
      </c>
      <c r="J25" s="93">
        <v>5947</v>
      </c>
      <c r="K25" s="93">
        <v>3880.7</v>
      </c>
      <c r="L25" s="93">
        <v>959.6</v>
      </c>
      <c r="M25" s="93"/>
      <c r="N25" s="93">
        <v>743</v>
      </c>
      <c r="O25" s="93"/>
      <c r="P25" s="93">
        <v>538.4</v>
      </c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4">
        <f t="shared" si="1"/>
        <v>13327.599999999999</v>
      </c>
      <c r="AG25" s="94">
        <f t="shared" si="3"/>
        <v>6589.499999999993</v>
      </c>
      <c r="AH25" s="95"/>
    </row>
    <row r="26" spans="1:34" s="87" customFormat="1" ht="15" hidden="1">
      <c r="A26" s="88" t="s">
        <v>5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>
        <f t="shared" si="1"/>
        <v>0</v>
      </c>
      <c r="AG26" s="85">
        <f t="shared" si="3"/>
        <v>0</v>
      </c>
      <c r="AH26" s="97"/>
    </row>
    <row r="27" spans="1:33" s="87" customFormat="1" ht="15" hidden="1">
      <c r="A27" s="88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>
        <f t="shared" si="1"/>
        <v>0</v>
      </c>
      <c r="AG27" s="85">
        <f t="shared" si="3"/>
        <v>0</v>
      </c>
    </row>
    <row r="28" spans="1:33" s="87" customFormat="1" ht="15" hidden="1">
      <c r="A28" s="88" t="s">
        <v>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>
        <f t="shared" si="1"/>
        <v>0</v>
      </c>
      <c r="AG28" s="85">
        <f t="shared" si="3"/>
        <v>0</v>
      </c>
    </row>
    <row r="29" spans="1:33" s="87" customFormat="1" ht="15" hidden="1">
      <c r="A29" s="88" t="s">
        <v>2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>
        <f t="shared" si="1"/>
        <v>0</v>
      </c>
      <c r="AG29" s="85">
        <f t="shared" si="3"/>
        <v>0</v>
      </c>
    </row>
    <row r="30" spans="1:33" s="87" customFormat="1" ht="15" hidden="1">
      <c r="A30" s="88" t="s">
        <v>16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 t="shared" si="1"/>
        <v>0</v>
      </c>
      <c r="AG30" s="85">
        <f t="shared" si="3"/>
        <v>0</v>
      </c>
    </row>
    <row r="31" spans="1:33" s="87" customFormat="1" ht="15" hidden="1">
      <c r="A31" s="88" t="s">
        <v>15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>
        <f t="shared" si="1"/>
        <v>0</v>
      </c>
      <c r="AG31" s="85">
        <f t="shared" si="3"/>
        <v>0</v>
      </c>
    </row>
    <row r="32" spans="1:33" s="87" customFormat="1" ht="15">
      <c r="A32" s="88" t="s">
        <v>23</v>
      </c>
      <c r="B32" s="85">
        <f aca="true" t="shared" si="5" ref="B32:AD32">B24</f>
        <v>30267.2</v>
      </c>
      <c r="C32" s="85">
        <f t="shared" si="5"/>
        <v>14349.7</v>
      </c>
      <c r="D32" s="85">
        <f t="shared" si="5"/>
        <v>0</v>
      </c>
      <c r="E32" s="85">
        <f t="shared" si="5"/>
        <v>0</v>
      </c>
      <c r="F32" s="85">
        <f t="shared" si="5"/>
        <v>105.3</v>
      </c>
      <c r="G32" s="85">
        <f t="shared" si="5"/>
        <v>2184.3999999999996</v>
      </c>
      <c r="H32" s="85">
        <f t="shared" si="5"/>
        <v>1.4</v>
      </c>
      <c r="I32" s="85">
        <f t="shared" si="5"/>
        <v>2026.4</v>
      </c>
      <c r="J32" s="85">
        <f t="shared" si="5"/>
        <v>6286.8</v>
      </c>
      <c r="K32" s="85">
        <f t="shared" si="5"/>
        <v>3880.7</v>
      </c>
      <c r="L32" s="85">
        <f t="shared" si="5"/>
        <v>1627</v>
      </c>
      <c r="M32" s="85">
        <f t="shared" si="5"/>
        <v>0</v>
      </c>
      <c r="N32" s="85">
        <f t="shared" si="5"/>
        <v>3307.3</v>
      </c>
      <c r="O32" s="85">
        <f t="shared" si="5"/>
        <v>31.1</v>
      </c>
      <c r="P32" s="85">
        <f t="shared" si="5"/>
        <v>1708.6</v>
      </c>
      <c r="Q32" s="85">
        <f t="shared" si="5"/>
        <v>857.2</v>
      </c>
      <c r="R32" s="85">
        <f t="shared" si="5"/>
        <v>0</v>
      </c>
      <c r="S32" s="85">
        <f t="shared" si="5"/>
        <v>0</v>
      </c>
      <c r="T32" s="85">
        <f t="shared" si="5"/>
        <v>0</v>
      </c>
      <c r="U32" s="85">
        <f t="shared" si="5"/>
        <v>0</v>
      </c>
      <c r="V32" s="85">
        <f t="shared" si="5"/>
        <v>0</v>
      </c>
      <c r="W32" s="85">
        <f t="shared" si="5"/>
        <v>0</v>
      </c>
      <c r="X32" s="85">
        <f t="shared" si="5"/>
        <v>0</v>
      </c>
      <c r="Y32" s="85">
        <f t="shared" si="5"/>
        <v>0</v>
      </c>
      <c r="Z32" s="85">
        <f t="shared" si="5"/>
        <v>0</v>
      </c>
      <c r="AA32" s="85">
        <f t="shared" si="5"/>
        <v>0</v>
      </c>
      <c r="AB32" s="85">
        <f t="shared" si="5"/>
        <v>0</v>
      </c>
      <c r="AC32" s="85">
        <f t="shared" si="5"/>
        <v>0</v>
      </c>
      <c r="AD32" s="85">
        <f t="shared" si="5"/>
        <v>0</v>
      </c>
      <c r="AE32" s="85"/>
      <c r="AF32" s="85">
        <f t="shared" si="1"/>
        <v>22016.199999999997</v>
      </c>
      <c r="AG32" s="85">
        <f>AG24</f>
        <v>22600.700000000004</v>
      </c>
    </row>
    <row r="33" spans="1:33" s="87" customFormat="1" ht="15" customHeight="1">
      <c r="A33" s="84" t="s">
        <v>8</v>
      </c>
      <c r="B33" s="85">
        <f>514.589-163.6</f>
        <v>350.98900000000003</v>
      </c>
      <c r="C33" s="85">
        <v>365.63</v>
      </c>
      <c r="D33" s="85"/>
      <c r="E33" s="85"/>
      <c r="F33" s="85"/>
      <c r="G33" s="85"/>
      <c r="H33" s="85"/>
      <c r="I33" s="85"/>
      <c r="J33" s="85"/>
      <c r="K33" s="85">
        <v>207.2</v>
      </c>
      <c r="L33" s="85">
        <v>79.6</v>
      </c>
      <c r="M33" s="85"/>
      <c r="N33" s="85">
        <v>9.8</v>
      </c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>
        <f t="shared" si="1"/>
        <v>296.59999999999997</v>
      </c>
      <c r="AG33" s="85">
        <f aca="true" t="shared" si="6" ref="AG33:AG38">B33+C33-AF33</f>
        <v>420.01900000000006</v>
      </c>
    </row>
    <row r="34" spans="1:33" s="87" customFormat="1" ht="15">
      <c r="A34" s="88" t="s">
        <v>5</v>
      </c>
      <c r="B34" s="85">
        <v>216.05228000000034</v>
      </c>
      <c r="C34" s="85">
        <v>21.65100000000001</v>
      </c>
      <c r="D34" s="85"/>
      <c r="E34" s="85"/>
      <c r="F34" s="85"/>
      <c r="G34" s="85"/>
      <c r="H34" s="85"/>
      <c r="I34" s="85"/>
      <c r="J34" s="85"/>
      <c r="K34" s="85"/>
      <c r="L34" s="85">
        <v>79.6</v>
      </c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>
        <f t="shared" si="1"/>
        <v>79.6</v>
      </c>
      <c r="AG34" s="85">
        <f t="shared" si="6"/>
        <v>158.10328000000035</v>
      </c>
    </row>
    <row r="35" spans="1:33" s="87" customFormat="1" ht="15">
      <c r="A35" s="88" t="s">
        <v>1</v>
      </c>
      <c r="B35" s="85">
        <v>0</v>
      </c>
      <c r="C35" s="85">
        <f>6.7-3.4</f>
        <v>3.3000000000000003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>
        <f t="shared" si="1"/>
        <v>0</v>
      </c>
      <c r="AG35" s="85">
        <f t="shared" si="6"/>
        <v>3.3000000000000003</v>
      </c>
    </row>
    <row r="36" spans="1:33" s="87" customFormat="1" ht="15">
      <c r="A36" s="88" t="s">
        <v>2</v>
      </c>
      <c r="B36" s="90">
        <v>73.82447000000002</v>
      </c>
      <c r="C36" s="85">
        <v>45.67100000000001</v>
      </c>
      <c r="D36" s="85"/>
      <c r="E36" s="85"/>
      <c r="F36" s="85"/>
      <c r="G36" s="85"/>
      <c r="H36" s="85"/>
      <c r="I36" s="85"/>
      <c r="J36" s="85"/>
      <c r="K36" s="85">
        <v>6.4</v>
      </c>
      <c r="L36" s="85"/>
      <c r="M36" s="85"/>
      <c r="N36" s="85">
        <v>9.8</v>
      </c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>
        <f t="shared" si="1"/>
        <v>16.200000000000003</v>
      </c>
      <c r="AG36" s="85">
        <f t="shared" si="6"/>
        <v>103.29547000000002</v>
      </c>
    </row>
    <row r="37" spans="1:33" s="87" customFormat="1" ht="15">
      <c r="A37" s="88" t="s">
        <v>16</v>
      </c>
      <c r="B37" s="85">
        <v>-0.0420000000001437</v>
      </c>
      <c r="C37" s="85">
        <f>258.1-223.4</f>
        <v>34.70000000000002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>
        <f t="shared" si="1"/>
        <v>0</v>
      </c>
      <c r="AG37" s="85">
        <f t="shared" si="6"/>
        <v>34.65799999999987</v>
      </c>
    </row>
    <row r="38" spans="1:33" s="87" customFormat="1" ht="15" hidden="1">
      <c r="A38" s="88" t="s">
        <v>15</v>
      </c>
      <c r="B38" s="85"/>
      <c r="C38" s="85">
        <v>0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>
        <f t="shared" si="1"/>
        <v>0</v>
      </c>
      <c r="AG38" s="85">
        <f t="shared" si="6"/>
        <v>0</v>
      </c>
    </row>
    <row r="39" spans="1:33" s="87" customFormat="1" ht="15">
      <c r="A39" s="88" t="s">
        <v>23</v>
      </c>
      <c r="B39" s="85">
        <f aca="true" t="shared" si="7" ref="B39:AD39">B33-B34-B36-B38-B37-B35</f>
        <v>61.15424999999982</v>
      </c>
      <c r="C39" s="85">
        <f t="shared" si="7"/>
        <v>260.30799999999994</v>
      </c>
      <c r="D39" s="85">
        <f t="shared" si="7"/>
        <v>0</v>
      </c>
      <c r="E39" s="85">
        <f t="shared" si="7"/>
        <v>0</v>
      </c>
      <c r="F39" s="85">
        <f t="shared" si="7"/>
        <v>0</v>
      </c>
      <c r="G39" s="85">
        <f t="shared" si="7"/>
        <v>0</v>
      </c>
      <c r="H39" s="85">
        <f t="shared" si="7"/>
        <v>0</v>
      </c>
      <c r="I39" s="85">
        <f t="shared" si="7"/>
        <v>0</v>
      </c>
      <c r="J39" s="85">
        <f t="shared" si="7"/>
        <v>0</v>
      </c>
      <c r="K39" s="85">
        <f t="shared" si="7"/>
        <v>200.79999999999998</v>
      </c>
      <c r="L39" s="85">
        <f t="shared" si="7"/>
        <v>0</v>
      </c>
      <c r="M39" s="85">
        <f t="shared" si="7"/>
        <v>0</v>
      </c>
      <c r="N39" s="85">
        <f t="shared" si="7"/>
        <v>0</v>
      </c>
      <c r="O39" s="85">
        <f t="shared" si="7"/>
        <v>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0</v>
      </c>
      <c r="T39" s="85">
        <f t="shared" si="7"/>
        <v>0</v>
      </c>
      <c r="U39" s="85">
        <f t="shared" si="7"/>
        <v>0</v>
      </c>
      <c r="V39" s="85">
        <f t="shared" si="7"/>
        <v>0</v>
      </c>
      <c r="W39" s="85">
        <f t="shared" si="7"/>
        <v>0</v>
      </c>
      <c r="X39" s="85">
        <f t="shared" si="7"/>
        <v>0</v>
      </c>
      <c r="Y39" s="85">
        <f t="shared" si="7"/>
        <v>0</v>
      </c>
      <c r="Z39" s="85">
        <f t="shared" si="7"/>
        <v>0</v>
      </c>
      <c r="AA39" s="85">
        <f t="shared" si="7"/>
        <v>0</v>
      </c>
      <c r="AB39" s="85">
        <f t="shared" si="7"/>
        <v>0</v>
      </c>
      <c r="AC39" s="85">
        <f t="shared" si="7"/>
        <v>0</v>
      </c>
      <c r="AD39" s="85">
        <f t="shared" si="7"/>
        <v>0</v>
      </c>
      <c r="AE39" s="85"/>
      <c r="AF39" s="85">
        <f t="shared" si="1"/>
        <v>200.79999999999998</v>
      </c>
      <c r="AG39" s="85">
        <f>AG33-AG34-AG36-AG38-AG35-AG37</f>
        <v>120.66224999999983</v>
      </c>
    </row>
    <row r="40" spans="1:33" s="87" customFormat="1" ht="15" customHeight="1">
      <c r="A40" s="84" t="s">
        <v>29</v>
      </c>
      <c r="B40" s="85">
        <v>1065.7209999999995</v>
      </c>
      <c r="C40" s="85">
        <v>272.187</v>
      </c>
      <c r="D40" s="85"/>
      <c r="E40" s="85"/>
      <c r="F40" s="85">
        <v>48</v>
      </c>
      <c r="G40" s="85"/>
      <c r="H40" s="85"/>
      <c r="I40" s="85"/>
      <c r="J40" s="85"/>
      <c r="K40" s="85">
        <v>75.1</v>
      </c>
      <c r="L40" s="85">
        <v>326</v>
      </c>
      <c r="M40" s="85"/>
      <c r="N40" s="85"/>
      <c r="O40" s="85"/>
      <c r="P40" s="85"/>
      <c r="Q40" s="85">
        <v>56.1</v>
      </c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>
        <f t="shared" si="1"/>
        <v>505.20000000000005</v>
      </c>
      <c r="AG40" s="85">
        <f aca="true" t="shared" si="8" ref="AG40:AG45">B40+C40-AF40</f>
        <v>832.7079999999994</v>
      </c>
    </row>
    <row r="41" spans="1:34" s="87" customFormat="1" ht="15">
      <c r="A41" s="88" t="s">
        <v>5</v>
      </c>
      <c r="B41" s="85">
        <v>851.5040000000008</v>
      </c>
      <c r="C41" s="85">
        <v>63.1099999999999</v>
      </c>
      <c r="D41" s="85"/>
      <c r="E41" s="85"/>
      <c r="F41" s="85"/>
      <c r="G41" s="85"/>
      <c r="H41" s="85"/>
      <c r="I41" s="85"/>
      <c r="J41" s="85"/>
      <c r="K41" s="85"/>
      <c r="L41" s="85">
        <v>326</v>
      </c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>
        <f t="shared" si="1"/>
        <v>326</v>
      </c>
      <c r="AG41" s="85">
        <f t="shared" si="8"/>
        <v>588.6140000000007</v>
      </c>
      <c r="AH41" s="97"/>
    </row>
    <row r="42" spans="1:33" s="87" customFormat="1" ht="15">
      <c r="A42" s="88" t="s">
        <v>3</v>
      </c>
      <c r="B42" s="85">
        <v>0.020000000000000018</v>
      </c>
      <c r="C42" s="85">
        <v>0.55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>
        <f t="shared" si="1"/>
        <v>0</v>
      </c>
      <c r="AG42" s="85">
        <f t="shared" si="8"/>
        <v>0.5700000000000001</v>
      </c>
    </row>
    <row r="43" spans="1:33" s="87" customFormat="1" ht="15">
      <c r="A43" s="88" t="s">
        <v>1</v>
      </c>
      <c r="B43" s="85">
        <v>10.048000000000002</v>
      </c>
      <c r="C43" s="85">
        <v>14.294000000000002</v>
      </c>
      <c r="D43" s="85"/>
      <c r="E43" s="85"/>
      <c r="F43" s="85"/>
      <c r="G43" s="85"/>
      <c r="H43" s="85"/>
      <c r="I43" s="85"/>
      <c r="J43" s="85"/>
      <c r="K43" s="85">
        <v>6.6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>
        <f t="shared" si="1"/>
        <v>6.6</v>
      </c>
      <c r="AG43" s="85">
        <f t="shared" si="8"/>
        <v>17.742000000000004</v>
      </c>
    </row>
    <row r="44" spans="1:33" s="87" customFormat="1" ht="15">
      <c r="A44" s="88" t="s">
        <v>2</v>
      </c>
      <c r="B44" s="85">
        <v>176.49800000000005</v>
      </c>
      <c r="C44" s="85">
        <v>173.873</v>
      </c>
      <c r="D44" s="85"/>
      <c r="E44" s="85"/>
      <c r="F44" s="85">
        <v>47.8</v>
      </c>
      <c r="G44" s="85"/>
      <c r="H44" s="85"/>
      <c r="I44" s="85"/>
      <c r="J44" s="85"/>
      <c r="K44" s="85">
        <v>45.7</v>
      </c>
      <c r="L44" s="85"/>
      <c r="M44" s="85"/>
      <c r="N44" s="85"/>
      <c r="O44" s="85"/>
      <c r="P44" s="85"/>
      <c r="Q44" s="85">
        <v>52.2</v>
      </c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>
        <f t="shared" si="1"/>
        <v>145.7</v>
      </c>
      <c r="AG44" s="85">
        <f t="shared" si="8"/>
        <v>204.67100000000005</v>
      </c>
    </row>
    <row r="45" spans="1:33" s="87" customFormat="1" ht="15" hidden="1">
      <c r="A45" s="88" t="s">
        <v>15</v>
      </c>
      <c r="B45" s="85"/>
      <c r="C45" s="85">
        <v>0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>
        <f t="shared" si="1"/>
        <v>0</v>
      </c>
      <c r="AG45" s="85">
        <f t="shared" si="8"/>
        <v>0</v>
      </c>
    </row>
    <row r="46" spans="1:33" s="87" customFormat="1" ht="15">
      <c r="A46" s="88" t="s">
        <v>23</v>
      </c>
      <c r="B46" s="85">
        <f aca="true" t="shared" si="9" ref="B46:AD46">B40-B41-B42-B43-B44-B45</f>
        <v>27.650999999998675</v>
      </c>
      <c r="C46" s="85">
        <f t="shared" si="9"/>
        <v>20.3600000000001</v>
      </c>
      <c r="D46" s="85">
        <f t="shared" si="9"/>
        <v>0</v>
      </c>
      <c r="E46" s="85">
        <f t="shared" si="9"/>
        <v>0</v>
      </c>
      <c r="F46" s="85">
        <f t="shared" si="9"/>
        <v>0.20000000000000284</v>
      </c>
      <c r="G46" s="85">
        <f t="shared" si="9"/>
        <v>0</v>
      </c>
      <c r="H46" s="85">
        <f t="shared" si="9"/>
        <v>0</v>
      </c>
      <c r="I46" s="85">
        <f t="shared" si="9"/>
        <v>0</v>
      </c>
      <c r="J46" s="85">
        <f t="shared" si="9"/>
        <v>0</v>
      </c>
      <c r="K46" s="85">
        <f t="shared" si="9"/>
        <v>22.799999999999997</v>
      </c>
      <c r="L46" s="85">
        <f t="shared" si="9"/>
        <v>0</v>
      </c>
      <c r="M46" s="85">
        <f t="shared" si="9"/>
        <v>0</v>
      </c>
      <c r="N46" s="85">
        <f t="shared" si="9"/>
        <v>0</v>
      </c>
      <c r="O46" s="85">
        <f t="shared" si="9"/>
        <v>0</v>
      </c>
      <c r="P46" s="85">
        <f t="shared" si="9"/>
        <v>0</v>
      </c>
      <c r="Q46" s="85">
        <f t="shared" si="9"/>
        <v>3.8999999999999986</v>
      </c>
      <c r="R46" s="85">
        <f t="shared" si="9"/>
        <v>0</v>
      </c>
      <c r="S46" s="85">
        <f t="shared" si="9"/>
        <v>0</v>
      </c>
      <c r="T46" s="85">
        <f t="shared" si="9"/>
        <v>0</v>
      </c>
      <c r="U46" s="85">
        <f t="shared" si="9"/>
        <v>0</v>
      </c>
      <c r="V46" s="85">
        <f t="shared" si="9"/>
        <v>0</v>
      </c>
      <c r="W46" s="85">
        <f t="shared" si="9"/>
        <v>0</v>
      </c>
      <c r="X46" s="85">
        <f t="shared" si="9"/>
        <v>0</v>
      </c>
      <c r="Y46" s="85">
        <f t="shared" si="9"/>
        <v>0</v>
      </c>
      <c r="Z46" s="85">
        <f t="shared" si="9"/>
        <v>0</v>
      </c>
      <c r="AA46" s="85">
        <f t="shared" si="9"/>
        <v>0</v>
      </c>
      <c r="AB46" s="85">
        <f t="shared" si="9"/>
        <v>0</v>
      </c>
      <c r="AC46" s="85">
        <f t="shared" si="9"/>
        <v>0</v>
      </c>
      <c r="AD46" s="85">
        <f t="shared" si="9"/>
        <v>0</v>
      </c>
      <c r="AE46" s="85"/>
      <c r="AF46" s="85">
        <f t="shared" si="1"/>
        <v>26.9</v>
      </c>
      <c r="AG46" s="85">
        <f>AG40-AG41-AG42-AG43-AG44-AG45</f>
        <v>21.110999999998626</v>
      </c>
    </row>
    <row r="47" spans="1:33" s="87" customFormat="1" ht="17.25" customHeight="1">
      <c r="A47" s="84" t="s">
        <v>43</v>
      </c>
      <c r="B47" s="86">
        <f>848.9-25.3</f>
        <v>823.6</v>
      </c>
      <c r="C47" s="85">
        <v>1473.6</v>
      </c>
      <c r="D47" s="85"/>
      <c r="E47" s="98">
        <v>28.5</v>
      </c>
      <c r="F47" s="98">
        <v>5.4</v>
      </c>
      <c r="G47" s="98"/>
      <c r="H47" s="98">
        <v>45.6</v>
      </c>
      <c r="I47" s="98"/>
      <c r="J47" s="98"/>
      <c r="K47" s="98">
        <v>202.4</v>
      </c>
      <c r="L47" s="98"/>
      <c r="M47" s="98">
        <v>94.6</v>
      </c>
      <c r="N47" s="98">
        <v>39.9</v>
      </c>
      <c r="O47" s="98"/>
      <c r="P47" s="98">
        <v>7.6</v>
      </c>
      <c r="Q47" s="98">
        <v>32.2</v>
      </c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85">
        <f t="shared" si="1"/>
        <v>456.2</v>
      </c>
      <c r="AG47" s="85">
        <f>B47+C47-AF47</f>
        <v>1840.9999999999998</v>
      </c>
    </row>
    <row r="48" spans="1:33" s="87" customFormat="1" ht="15">
      <c r="A48" s="88" t="s">
        <v>5</v>
      </c>
      <c r="B48" s="85">
        <v>0</v>
      </c>
      <c r="C48" s="85">
        <v>21.699999999999996</v>
      </c>
      <c r="D48" s="85"/>
      <c r="E48" s="98"/>
      <c r="F48" s="98"/>
      <c r="G48" s="98"/>
      <c r="H48" s="98"/>
      <c r="I48" s="98"/>
      <c r="J48" s="98"/>
      <c r="K48" s="98"/>
      <c r="L48" s="98"/>
      <c r="M48" s="98">
        <v>19.5</v>
      </c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85">
        <f t="shared" si="1"/>
        <v>19.5</v>
      </c>
      <c r="AG48" s="85">
        <f>B48+C48-AF48</f>
        <v>2.1999999999999957</v>
      </c>
    </row>
    <row r="49" spans="1:33" s="87" customFormat="1" ht="15">
      <c r="A49" s="88" t="s">
        <v>16</v>
      </c>
      <c r="B49" s="85">
        <f>689.1-25.3</f>
        <v>663.8000000000001</v>
      </c>
      <c r="C49" s="85">
        <f>1241.9-5.3</f>
        <v>1236.6000000000001</v>
      </c>
      <c r="D49" s="85"/>
      <c r="E49" s="85"/>
      <c r="F49" s="85"/>
      <c r="G49" s="85"/>
      <c r="H49" s="85">
        <v>45.6</v>
      </c>
      <c r="I49" s="85"/>
      <c r="J49" s="85"/>
      <c r="K49" s="85">
        <v>202.3</v>
      </c>
      <c r="L49" s="85"/>
      <c r="M49" s="85">
        <v>65</v>
      </c>
      <c r="N49" s="85"/>
      <c r="O49" s="85"/>
      <c r="P49" s="85"/>
      <c r="Q49" s="85">
        <v>7</v>
      </c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>
        <f t="shared" si="1"/>
        <v>319.9</v>
      </c>
      <c r="AG49" s="85">
        <f>B49+C49-AF49</f>
        <v>1580.5</v>
      </c>
    </row>
    <row r="50" spans="1:33" s="87" customFormat="1" ht="28.5" hidden="1">
      <c r="A50" s="99" t="s">
        <v>34</v>
      </c>
      <c r="B50" s="85"/>
      <c r="C50" s="85">
        <v>0</v>
      </c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>
        <f t="shared" si="1"/>
        <v>0</v>
      </c>
      <c r="AG50" s="85">
        <f>B50+C50-AF50</f>
        <v>0</v>
      </c>
    </row>
    <row r="51" spans="1:33" s="87" customFormat="1" ht="15">
      <c r="A51" s="100" t="s">
        <v>23</v>
      </c>
      <c r="B51" s="85">
        <f aca="true" t="shared" si="10" ref="B51:AD51">B47-B48-B49</f>
        <v>159.79999999999995</v>
      </c>
      <c r="C51" s="85">
        <f>C47-C48-C49</f>
        <v>215.29999999999973</v>
      </c>
      <c r="D51" s="85">
        <f t="shared" si="10"/>
        <v>0</v>
      </c>
      <c r="E51" s="85">
        <f t="shared" si="10"/>
        <v>28.5</v>
      </c>
      <c r="F51" s="85">
        <f t="shared" si="10"/>
        <v>5.4</v>
      </c>
      <c r="G51" s="85">
        <f t="shared" si="10"/>
        <v>0</v>
      </c>
      <c r="H51" s="85">
        <f t="shared" si="10"/>
        <v>0</v>
      </c>
      <c r="I51" s="85">
        <f t="shared" si="10"/>
        <v>0</v>
      </c>
      <c r="J51" s="85">
        <f t="shared" si="10"/>
        <v>0</v>
      </c>
      <c r="K51" s="85">
        <f t="shared" si="10"/>
        <v>0.09999999999999432</v>
      </c>
      <c r="L51" s="85">
        <f t="shared" si="10"/>
        <v>0</v>
      </c>
      <c r="M51" s="85">
        <f t="shared" si="10"/>
        <v>10.099999999999994</v>
      </c>
      <c r="N51" s="85">
        <f t="shared" si="10"/>
        <v>39.9</v>
      </c>
      <c r="O51" s="85">
        <f t="shared" si="10"/>
        <v>0</v>
      </c>
      <c r="P51" s="85">
        <f t="shared" si="10"/>
        <v>7.6</v>
      </c>
      <c r="Q51" s="85">
        <f t="shared" si="10"/>
        <v>25.200000000000003</v>
      </c>
      <c r="R51" s="85">
        <f t="shared" si="10"/>
        <v>0</v>
      </c>
      <c r="S51" s="85">
        <f t="shared" si="10"/>
        <v>0</v>
      </c>
      <c r="T51" s="85">
        <f t="shared" si="10"/>
        <v>0</v>
      </c>
      <c r="U51" s="85">
        <f t="shared" si="10"/>
        <v>0</v>
      </c>
      <c r="V51" s="85">
        <f t="shared" si="10"/>
        <v>0</v>
      </c>
      <c r="W51" s="85">
        <f t="shared" si="10"/>
        <v>0</v>
      </c>
      <c r="X51" s="85">
        <f t="shared" si="10"/>
        <v>0</v>
      </c>
      <c r="Y51" s="85">
        <f t="shared" si="10"/>
        <v>0</v>
      </c>
      <c r="Z51" s="85">
        <f t="shared" si="10"/>
        <v>0</v>
      </c>
      <c r="AA51" s="85">
        <f t="shared" si="10"/>
        <v>0</v>
      </c>
      <c r="AB51" s="85">
        <f t="shared" si="10"/>
        <v>0</v>
      </c>
      <c r="AC51" s="85">
        <f t="shared" si="10"/>
        <v>0</v>
      </c>
      <c r="AD51" s="85">
        <f t="shared" si="10"/>
        <v>0</v>
      </c>
      <c r="AE51" s="85"/>
      <c r="AF51" s="85">
        <f t="shared" si="1"/>
        <v>116.79999999999998</v>
      </c>
      <c r="AG51" s="85">
        <f>AG47-AG49-AG48</f>
        <v>258.2999999999998</v>
      </c>
    </row>
    <row r="52" spans="1:33" s="87" customFormat="1" ht="15" customHeight="1">
      <c r="A52" s="84" t="s">
        <v>0</v>
      </c>
      <c r="B52" s="85">
        <f>6284-333.8</f>
        <v>5950.2</v>
      </c>
      <c r="C52" s="85">
        <v>5725.5</v>
      </c>
      <c r="D52" s="85"/>
      <c r="E52" s="85">
        <v>1135.2</v>
      </c>
      <c r="F52" s="85"/>
      <c r="G52" s="85">
        <v>1038.3</v>
      </c>
      <c r="H52" s="85"/>
      <c r="I52" s="85">
        <v>8.1</v>
      </c>
      <c r="J52" s="85">
        <v>83.4</v>
      </c>
      <c r="K52" s="85">
        <v>31.3</v>
      </c>
      <c r="L52" s="85">
        <v>431.4</v>
      </c>
      <c r="M52" s="85">
        <v>239.1</v>
      </c>
      <c r="N52" s="85">
        <v>32.7</v>
      </c>
      <c r="O52" s="85">
        <v>66.5</v>
      </c>
      <c r="P52" s="85">
        <v>602.2</v>
      </c>
      <c r="Q52" s="85">
        <v>663.6</v>
      </c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 t="shared" si="1"/>
        <v>4331.8</v>
      </c>
      <c r="AG52" s="85">
        <f aca="true" t="shared" si="11" ref="AG52:AG59">B52+C52-AF52</f>
        <v>7343.900000000001</v>
      </c>
    </row>
    <row r="53" spans="1:33" s="87" customFormat="1" ht="15" customHeight="1">
      <c r="A53" s="88" t="s">
        <v>2</v>
      </c>
      <c r="B53" s="85">
        <f>1959+612.9</f>
        <v>2571.9</v>
      </c>
      <c r="C53" s="85">
        <v>552.3000000000002</v>
      </c>
      <c r="D53" s="85"/>
      <c r="E53" s="85"/>
      <c r="F53" s="85"/>
      <c r="G53" s="85">
        <v>1031.7</v>
      </c>
      <c r="H53" s="85"/>
      <c r="I53" s="85"/>
      <c r="J53" s="85">
        <v>3.7</v>
      </c>
      <c r="K53" s="85"/>
      <c r="L53" s="85"/>
      <c r="M53" s="85">
        <v>62.3</v>
      </c>
      <c r="N53" s="85"/>
      <c r="O53" s="85"/>
      <c r="P53" s="85"/>
      <c r="Q53" s="85">
        <v>1</v>
      </c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>
        <f t="shared" si="1"/>
        <v>1098.7</v>
      </c>
      <c r="AG53" s="85">
        <f t="shared" si="11"/>
        <v>2025.5000000000002</v>
      </c>
    </row>
    <row r="54" spans="1:34" s="87" customFormat="1" ht="15">
      <c r="A54" s="84" t="s">
        <v>9</v>
      </c>
      <c r="B54" s="90">
        <f>5707.9+59</f>
        <v>5766.9</v>
      </c>
      <c r="C54" s="85">
        <v>1938.5</v>
      </c>
      <c r="D54" s="85">
        <v>-7</v>
      </c>
      <c r="E54" s="85">
        <v>2.3</v>
      </c>
      <c r="F54" s="85">
        <v>215.2</v>
      </c>
      <c r="G54" s="85">
        <v>199.7</v>
      </c>
      <c r="H54" s="85"/>
      <c r="I54" s="85">
        <v>8.1</v>
      </c>
      <c r="J54" s="85">
        <v>10.3</v>
      </c>
      <c r="K54" s="85">
        <v>302.2</v>
      </c>
      <c r="L54" s="85">
        <v>2180.3</v>
      </c>
      <c r="M54" s="85">
        <v>109.8</v>
      </c>
      <c r="N54" s="85">
        <v>161.5</v>
      </c>
      <c r="O54" s="85">
        <v>3.3</v>
      </c>
      <c r="P54" s="85">
        <v>150.2</v>
      </c>
      <c r="Q54" s="85">
        <v>118.9</v>
      </c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>
        <f t="shared" si="1"/>
        <v>3454.8000000000006</v>
      </c>
      <c r="AG54" s="85">
        <f t="shared" si="11"/>
        <v>4250.5999999999985</v>
      </c>
      <c r="AH54" s="97"/>
    </row>
    <row r="55" spans="1:34" s="87" customFormat="1" ht="15">
      <c r="A55" s="88" t="s">
        <v>5</v>
      </c>
      <c r="B55" s="85">
        <f>4215.39999999999+14</f>
        <v>4229.39999999999</v>
      </c>
      <c r="C55" s="85">
        <v>535.7999999999993</v>
      </c>
      <c r="D55" s="85">
        <v>-7</v>
      </c>
      <c r="E55" s="85"/>
      <c r="F55" s="85"/>
      <c r="G55" s="85"/>
      <c r="H55" s="85"/>
      <c r="I55" s="85"/>
      <c r="J55" s="85"/>
      <c r="K55" s="85"/>
      <c r="L55" s="85">
        <v>2180.3</v>
      </c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>
        <f t="shared" si="1"/>
        <v>2173.3</v>
      </c>
      <c r="AG55" s="85">
        <f t="shared" si="11"/>
        <v>2591.8999999999887</v>
      </c>
      <c r="AH55" s="97"/>
    </row>
    <row r="56" spans="1:34" s="87" customFormat="1" ht="15" customHeight="1" hidden="1">
      <c r="A56" s="88" t="s">
        <v>1</v>
      </c>
      <c r="B56" s="85">
        <v>0</v>
      </c>
      <c r="C56" s="85">
        <v>0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>
        <f t="shared" si="1"/>
        <v>0</v>
      </c>
      <c r="AG56" s="85">
        <f t="shared" si="11"/>
        <v>0</v>
      </c>
      <c r="AH56" s="97"/>
    </row>
    <row r="57" spans="1:33" s="87" customFormat="1" ht="15">
      <c r="A57" s="88" t="s">
        <v>2</v>
      </c>
      <c r="B57" s="86">
        <v>491.54367</v>
      </c>
      <c r="C57" s="85">
        <v>668.2</v>
      </c>
      <c r="D57" s="85"/>
      <c r="E57" s="85"/>
      <c r="F57" s="85"/>
      <c r="G57" s="85">
        <v>65.6</v>
      </c>
      <c r="H57" s="85"/>
      <c r="I57" s="85">
        <v>1.7</v>
      </c>
      <c r="J57" s="85"/>
      <c r="K57" s="85">
        <v>198.7</v>
      </c>
      <c r="L57" s="85"/>
      <c r="M57" s="85">
        <v>0.5</v>
      </c>
      <c r="N57" s="85">
        <v>155.2</v>
      </c>
      <c r="O57" s="85">
        <v>3.3</v>
      </c>
      <c r="P57" s="85"/>
      <c r="Q57" s="85">
        <v>4.3</v>
      </c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>
        <f t="shared" si="1"/>
        <v>429.3</v>
      </c>
      <c r="AG57" s="85">
        <f t="shared" si="11"/>
        <v>730.4436700000001</v>
      </c>
    </row>
    <row r="58" spans="1:33" s="87" customFormat="1" ht="15">
      <c r="A58" s="88" t="s">
        <v>16</v>
      </c>
      <c r="B58" s="86">
        <v>5.099999999999994</v>
      </c>
      <c r="C58" s="85">
        <v>0</v>
      </c>
      <c r="D58" s="85"/>
      <c r="E58" s="85"/>
      <c r="F58" s="85"/>
      <c r="G58" s="85">
        <v>1.2</v>
      </c>
      <c r="H58" s="85"/>
      <c r="I58" s="85">
        <v>3.9</v>
      </c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>
        <f t="shared" si="1"/>
        <v>5.1</v>
      </c>
      <c r="AG58" s="85">
        <f t="shared" si="11"/>
        <v>0</v>
      </c>
    </row>
    <row r="59" spans="1:33" s="87" customFormat="1" ht="15" hidden="1">
      <c r="A59" s="88" t="s">
        <v>15</v>
      </c>
      <c r="B59" s="85"/>
      <c r="C59" s="85">
        <v>0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>
        <f t="shared" si="1"/>
        <v>0</v>
      </c>
      <c r="AG59" s="85">
        <f t="shared" si="11"/>
        <v>0</v>
      </c>
    </row>
    <row r="60" spans="1:33" s="87" customFormat="1" ht="15">
      <c r="A60" s="88" t="s">
        <v>23</v>
      </c>
      <c r="B60" s="85"/>
      <c r="C60" s="85">
        <f aca="true" t="shared" si="12" ref="C60:AD60">C54-C55-C57-C59-C56-C58</f>
        <v>734.5000000000007</v>
      </c>
      <c r="D60" s="85">
        <f t="shared" si="12"/>
        <v>0</v>
      </c>
      <c r="E60" s="85">
        <f t="shared" si="12"/>
        <v>2.3</v>
      </c>
      <c r="F60" s="85">
        <f t="shared" si="12"/>
        <v>215.2</v>
      </c>
      <c r="G60" s="85">
        <f t="shared" si="12"/>
        <v>132.9</v>
      </c>
      <c r="H60" s="85">
        <f t="shared" si="12"/>
        <v>0</v>
      </c>
      <c r="I60" s="85">
        <f t="shared" si="12"/>
        <v>2.4999999999999996</v>
      </c>
      <c r="J60" s="85">
        <f t="shared" si="12"/>
        <v>10.3</v>
      </c>
      <c r="K60" s="85">
        <f t="shared" si="12"/>
        <v>103.5</v>
      </c>
      <c r="L60" s="85">
        <f t="shared" si="12"/>
        <v>0</v>
      </c>
      <c r="M60" s="85">
        <f t="shared" si="12"/>
        <v>109.3</v>
      </c>
      <c r="N60" s="85">
        <f t="shared" si="12"/>
        <v>6.300000000000011</v>
      </c>
      <c r="O60" s="85">
        <f t="shared" si="12"/>
        <v>0</v>
      </c>
      <c r="P60" s="85">
        <f t="shared" si="12"/>
        <v>150.2</v>
      </c>
      <c r="Q60" s="85">
        <f>Q54-Q55-Q57-Q59-Q56-Q58</f>
        <v>114.60000000000001</v>
      </c>
      <c r="R60" s="85">
        <f t="shared" si="12"/>
        <v>0</v>
      </c>
      <c r="S60" s="85">
        <f t="shared" si="12"/>
        <v>0</v>
      </c>
      <c r="T60" s="85">
        <f t="shared" si="12"/>
        <v>0</v>
      </c>
      <c r="U60" s="85">
        <f t="shared" si="12"/>
        <v>0</v>
      </c>
      <c r="V60" s="85">
        <f t="shared" si="12"/>
        <v>0</v>
      </c>
      <c r="W60" s="85">
        <f t="shared" si="12"/>
        <v>0</v>
      </c>
      <c r="X60" s="85">
        <f t="shared" si="12"/>
        <v>0</v>
      </c>
      <c r="Y60" s="85">
        <f t="shared" si="12"/>
        <v>0</v>
      </c>
      <c r="Z60" s="85">
        <f t="shared" si="12"/>
        <v>0</v>
      </c>
      <c r="AA60" s="85">
        <f t="shared" si="12"/>
        <v>0</v>
      </c>
      <c r="AB60" s="85">
        <f t="shared" si="12"/>
        <v>0</v>
      </c>
      <c r="AC60" s="85">
        <f t="shared" si="12"/>
        <v>0</v>
      </c>
      <c r="AD60" s="85">
        <f t="shared" si="12"/>
        <v>0</v>
      </c>
      <c r="AE60" s="85"/>
      <c r="AF60" s="85">
        <f>AF54-AF55-AF57-AF59-AF56-AF58</f>
        <v>847.1000000000005</v>
      </c>
      <c r="AG60" s="85">
        <f>AG54-AG55-AG57-AG59-AG56-AG58</f>
        <v>928.2563300000097</v>
      </c>
    </row>
    <row r="61" spans="1:33" s="87" customFormat="1" ht="15" customHeight="1">
      <c r="A61" s="84" t="s">
        <v>10</v>
      </c>
      <c r="B61" s="85">
        <v>61.000000000000455</v>
      </c>
      <c r="C61" s="85">
        <v>587.9</v>
      </c>
      <c r="D61" s="85"/>
      <c r="E61" s="85">
        <v>5.6</v>
      </c>
      <c r="F61" s="85"/>
      <c r="G61" s="85"/>
      <c r="H61" s="85"/>
      <c r="I61" s="85"/>
      <c r="J61" s="85">
        <v>2</v>
      </c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>
        <f aca="true" t="shared" si="13" ref="AF61:AF92">SUM(D61:AD61)</f>
        <v>7.6</v>
      </c>
      <c r="AG61" s="85">
        <f aca="true" t="shared" si="14" ref="AG61:AG67">B61+C61-AF61</f>
        <v>641.3000000000004</v>
      </c>
    </row>
    <row r="62" spans="1:33" s="87" customFormat="1" ht="15" customHeight="1">
      <c r="A62" s="84" t="s">
        <v>11</v>
      </c>
      <c r="B62" s="85">
        <f>2360.9+363.6</f>
        <v>2724.5</v>
      </c>
      <c r="C62" s="85">
        <v>2060.2</v>
      </c>
      <c r="D62" s="85"/>
      <c r="E62" s="85">
        <v>24.7</v>
      </c>
      <c r="F62" s="85">
        <v>163.6</v>
      </c>
      <c r="G62" s="85">
        <v>0.1</v>
      </c>
      <c r="H62" s="85">
        <v>0.7</v>
      </c>
      <c r="I62" s="85">
        <v>160.2</v>
      </c>
      <c r="J62" s="85"/>
      <c r="K62" s="85">
        <v>186.3</v>
      </c>
      <c r="L62" s="85">
        <v>514.3</v>
      </c>
      <c r="M62" s="85">
        <v>128.9</v>
      </c>
      <c r="N62" s="85"/>
      <c r="O62" s="85"/>
      <c r="P62" s="85">
        <v>453.6</v>
      </c>
      <c r="Q62" s="85">
        <v>25.1</v>
      </c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>
        <f t="shared" si="13"/>
        <v>1657.5</v>
      </c>
      <c r="AG62" s="85">
        <f t="shared" si="14"/>
        <v>3127.2</v>
      </c>
    </row>
    <row r="63" spans="1:34" s="87" customFormat="1" ht="15">
      <c r="A63" s="88" t="s">
        <v>5</v>
      </c>
      <c r="B63" s="85">
        <f>1481.7-9.6</f>
        <v>1472.1000000000001</v>
      </c>
      <c r="C63" s="85">
        <v>80.99999999999977</v>
      </c>
      <c r="D63" s="85"/>
      <c r="E63" s="85"/>
      <c r="F63" s="85"/>
      <c r="G63" s="85"/>
      <c r="H63" s="85"/>
      <c r="I63" s="85"/>
      <c r="J63" s="85"/>
      <c r="K63" s="85"/>
      <c r="L63" s="85">
        <v>514.1</v>
      </c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>
        <f t="shared" si="13"/>
        <v>514.1</v>
      </c>
      <c r="AG63" s="85">
        <f t="shared" si="14"/>
        <v>1039</v>
      </c>
      <c r="AH63" s="108"/>
    </row>
    <row r="64" spans="1:34" s="87" customFormat="1" ht="15">
      <c r="A64" s="88" t="s">
        <v>3</v>
      </c>
      <c r="B64" s="85">
        <v>3.25</v>
      </c>
      <c r="C64" s="85">
        <v>3.3999999999999986</v>
      </c>
      <c r="D64" s="85"/>
      <c r="E64" s="85"/>
      <c r="F64" s="85">
        <v>5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>
        <f t="shared" si="13"/>
        <v>5</v>
      </c>
      <c r="AG64" s="85">
        <f t="shared" si="14"/>
        <v>1.6499999999999986</v>
      </c>
      <c r="AH64" s="97"/>
    </row>
    <row r="65" spans="1:34" s="87" customFormat="1" ht="15">
      <c r="A65" s="88" t="s">
        <v>1</v>
      </c>
      <c r="B65" s="85">
        <v>65.90000000000009</v>
      </c>
      <c r="C65" s="85">
        <v>106.59999999999997</v>
      </c>
      <c r="D65" s="85"/>
      <c r="E65" s="85"/>
      <c r="F65" s="85">
        <v>22.3</v>
      </c>
      <c r="G65" s="85"/>
      <c r="H65" s="85"/>
      <c r="I65" s="85">
        <v>11</v>
      </c>
      <c r="J65" s="85"/>
      <c r="K65" s="85">
        <v>2.2</v>
      </c>
      <c r="L65" s="85"/>
      <c r="M65" s="85">
        <v>14.2</v>
      </c>
      <c r="N65" s="85"/>
      <c r="O65" s="85"/>
      <c r="P65" s="85">
        <v>29.1</v>
      </c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>
        <f t="shared" si="13"/>
        <v>78.80000000000001</v>
      </c>
      <c r="AG65" s="85">
        <f t="shared" si="14"/>
        <v>93.70000000000005</v>
      </c>
      <c r="AH65" s="97"/>
    </row>
    <row r="66" spans="1:33" s="87" customFormat="1" ht="15">
      <c r="A66" s="88" t="s">
        <v>2</v>
      </c>
      <c r="B66" s="85">
        <v>200.78200000000004</v>
      </c>
      <c r="C66" s="85">
        <v>235.60000000000002</v>
      </c>
      <c r="D66" s="85"/>
      <c r="E66" s="85"/>
      <c r="F66" s="85">
        <v>61.2</v>
      </c>
      <c r="G66" s="85"/>
      <c r="H66" s="85"/>
      <c r="I66" s="85">
        <v>15</v>
      </c>
      <c r="J66" s="85"/>
      <c r="K66" s="85">
        <v>13.7</v>
      </c>
      <c r="L66" s="85">
        <v>0.2</v>
      </c>
      <c r="M66" s="85">
        <v>28.3</v>
      </c>
      <c r="N66" s="85"/>
      <c r="O66" s="85"/>
      <c r="P66" s="85">
        <v>13.4</v>
      </c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>
        <f t="shared" si="13"/>
        <v>131.8</v>
      </c>
      <c r="AG66" s="85">
        <f t="shared" si="14"/>
        <v>304.58200000000005</v>
      </c>
    </row>
    <row r="67" spans="1:33" s="87" customFormat="1" ht="15">
      <c r="A67" s="88" t="s">
        <v>16</v>
      </c>
      <c r="B67" s="85">
        <f>49.5379999999999+200</f>
        <v>249.5379999999999</v>
      </c>
      <c r="C67" s="85">
        <v>529.3000000000001</v>
      </c>
      <c r="D67" s="85"/>
      <c r="E67" s="85"/>
      <c r="F67" s="85">
        <v>40</v>
      </c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>
        <f t="shared" si="13"/>
        <v>40</v>
      </c>
      <c r="AG67" s="85">
        <f t="shared" si="14"/>
        <v>738.838</v>
      </c>
    </row>
    <row r="68" spans="1:33" s="87" customFormat="1" ht="15">
      <c r="A68" s="88" t="s">
        <v>23</v>
      </c>
      <c r="B68" s="85">
        <f aca="true" t="shared" si="15" ref="B68:AD68">B62-B63-B66-B67-B65-B64</f>
        <v>732.93</v>
      </c>
      <c r="C68" s="85">
        <f t="shared" si="15"/>
        <v>1104.2999999999997</v>
      </c>
      <c r="D68" s="85">
        <f t="shared" si="15"/>
        <v>0</v>
      </c>
      <c r="E68" s="85">
        <f t="shared" si="15"/>
        <v>24.7</v>
      </c>
      <c r="F68" s="85">
        <f t="shared" si="15"/>
        <v>35.099999999999994</v>
      </c>
      <c r="G68" s="85">
        <f t="shared" si="15"/>
        <v>0.1</v>
      </c>
      <c r="H68" s="85">
        <f t="shared" si="15"/>
        <v>0.7</v>
      </c>
      <c r="I68" s="85">
        <f t="shared" si="15"/>
        <v>134.2</v>
      </c>
      <c r="J68" s="85">
        <f t="shared" si="15"/>
        <v>0</v>
      </c>
      <c r="K68" s="85">
        <f t="shared" si="15"/>
        <v>170.40000000000003</v>
      </c>
      <c r="L68" s="85">
        <f t="shared" si="15"/>
        <v>-6.822320486321587E-14</v>
      </c>
      <c r="M68" s="85">
        <f t="shared" si="15"/>
        <v>86.4</v>
      </c>
      <c r="N68" s="85">
        <f t="shared" si="15"/>
        <v>0</v>
      </c>
      <c r="O68" s="85">
        <f t="shared" si="15"/>
        <v>0</v>
      </c>
      <c r="P68" s="85">
        <f t="shared" si="15"/>
        <v>411.1</v>
      </c>
      <c r="Q68" s="85">
        <f t="shared" si="15"/>
        <v>25.1</v>
      </c>
      <c r="R68" s="85">
        <f t="shared" si="15"/>
        <v>0</v>
      </c>
      <c r="S68" s="85">
        <f t="shared" si="15"/>
        <v>0</v>
      </c>
      <c r="T68" s="85">
        <f t="shared" si="15"/>
        <v>0</v>
      </c>
      <c r="U68" s="85">
        <f t="shared" si="15"/>
        <v>0</v>
      </c>
      <c r="V68" s="85">
        <f t="shared" si="15"/>
        <v>0</v>
      </c>
      <c r="W68" s="85">
        <f t="shared" si="15"/>
        <v>0</v>
      </c>
      <c r="X68" s="85">
        <f t="shared" si="15"/>
        <v>0</v>
      </c>
      <c r="Y68" s="85">
        <f t="shared" si="15"/>
        <v>0</v>
      </c>
      <c r="Z68" s="85">
        <f t="shared" si="15"/>
        <v>0</v>
      </c>
      <c r="AA68" s="85">
        <f t="shared" si="15"/>
        <v>0</v>
      </c>
      <c r="AB68" s="85">
        <f t="shared" si="15"/>
        <v>0</v>
      </c>
      <c r="AC68" s="85">
        <f t="shared" si="15"/>
        <v>0</v>
      </c>
      <c r="AD68" s="85">
        <f t="shared" si="15"/>
        <v>0</v>
      </c>
      <c r="AE68" s="85"/>
      <c r="AF68" s="85">
        <f t="shared" si="13"/>
        <v>887.8000000000001</v>
      </c>
      <c r="AG68" s="85">
        <f>AG62-AG63-AG66-AG67-AG65-AG64</f>
        <v>949.4299999999997</v>
      </c>
    </row>
    <row r="69" spans="1:33" s="87" customFormat="1" ht="30.75">
      <c r="A69" s="84" t="s">
        <v>46</v>
      </c>
      <c r="B69" s="85">
        <v>4002.4999999999927</v>
      </c>
      <c r="C69" s="85">
        <v>1774.5999999999985</v>
      </c>
      <c r="D69" s="85"/>
      <c r="E69" s="85"/>
      <c r="F69" s="85"/>
      <c r="G69" s="85">
        <v>2255.1</v>
      </c>
      <c r="H69" s="85"/>
      <c r="I69" s="85"/>
      <c r="J69" s="85"/>
      <c r="K69" s="85"/>
      <c r="L69" s="85"/>
      <c r="M69" s="85"/>
      <c r="N69" s="85"/>
      <c r="O69" s="85">
        <v>2689.6</v>
      </c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>
        <f t="shared" si="13"/>
        <v>4944.7</v>
      </c>
      <c r="AG69" s="102">
        <f aca="true" t="shared" si="16" ref="AG69:AG92">B69+C69-AF69</f>
        <v>832.3999999999915</v>
      </c>
    </row>
    <row r="70" spans="1:33" s="87" customFormat="1" ht="15" hidden="1">
      <c r="A70" s="84" t="s">
        <v>32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>
        <f t="shared" si="13"/>
        <v>0</v>
      </c>
      <c r="AG70" s="102">
        <f t="shared" si="16"/>
        <v>0</v>
      </c>
    </row>
    <row r="71" spans="1:50" s="87" customFormat="1" ht="30.75">
      <c r="A71" s="84" t="s">
        <v>47</v>
      </c>
      <c r="B71" s="85">
        <v>503.39999999999964</v>
      </c>
      <c r="C71" s="98">
        <v>241.49999999999966</v>
      </c>
      <c r="D71" s="98"/>
      <c r="E71" s="98">
        <v>723.2</v>
      </c>
      <c r="F71" s="98"/>
      <c r="G71" s="98"/>
      <c r="H71" s="98"/>
      <c r="I71" s="98"/>
      <c r="J71" s="98"/>
      <c r="K71" s="98"/>
      <c r="L71" s="98"/>
      <c r="M71" s="98">
        <v>21.7</v>
      </c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85">
        <f t="shared" si="13"/>
        <v>744.9000000000001</v>
      </c>
      <c r="AG71" s="102">
        <f t="shared" si="16"/>
        <v>0</v>
      </c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</row>
    <row r="72" spans="1:33" s="87" customFormat="1" ht="15" customHeight="1">
      <c r="A72" s="84" t="s">
        <v>48</v>
      </c>
      <c r="B72" s="90">
        <f>1194.8-223.4</f>
        <v>971.4</v>
      </c>
      <c r="C72" s="85">
        <v>4603.6</v>
      </c>
      <c r="D72" s="85"/>
      <c r="E72" s="85">
        <v>7.2</v>
      </c>
      <c r="F72" s="85">
        <v>87.8</v>
      </c>
      <c r="G72" s="85">
        <v>284.6</v>
      </c>
      <c r="H72" s="85">
        <v>2.2</v>
      </c>
      <c r="I72" s="85">
        <v>141.5</v>
      </c>
      <c r="J72" s="85">
        <v>109.3</v>
      </c>
      <c r="K72" s="85">
        <v>32.6</v>
      </c>
      <c r="L72" s="85">
        <v>25.6</v>
      </c>
      <c r="M72" s="85">
        <v>216</v>
      </c>
      <c r="N72" s="85">
        <v>6.7</v>
      </c>
      <c r="O72" s="85">
        <v>93.5</v>
      </c>
      <c r="P72" s="85">
        <v>10.7</v>
      </c>
      <c r="Q72" s="85">
        <v>252</v>
      </c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>
        <f t="shared" si="13"/>
        <v>1269.7</v>
      </c>
      <c r="AG72" s="102">
        <f t="shared" si="16"/>
        <v>4305.3</v>
      </c>
    </row>
    <row r="73" spans="1:33" s="87" customFormat="1" ht="15" customHeight="1">
      <c r="A73" s="88" t="s">
        <v>5</v>
      </c>
      <c r="B73" s="85">
        <v>39.099999999999966</v>
      </c>
      <c r="C73" s="85">
        <v>0.09999999999999432</v>
      </c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>
        <f t="shared" si="13"/>
        <v>0</v>
      </c>
      <c r="AG73" s="102">
        <f t="shared" si="16"/>
        <v>39.19999999999996</v>
      </c>
    </row>
    <row r="74" spans="1:33" s="87" customFormat="1" ht="15" customHeight="1">
      <c r="A74" s="88" t="s">
        <v>2</v>
      </c>
      <c r="B74" s="85">
        <v>376</v>
      </c>
      <c r="C74" s="85">
        <v>1366.3000000000002</v>
      </c>
      <c r="D74" s="85"/>
      <c r="E74" s="85">
        <v>0.5</v>
      </c>
      <c r="F74" s="85"/>
      <c r="G74" s="85">
        <v>119.4</v>
      </c>
      <c r="H74" s="85"/>
      <c r="I74" s="85">
        <v>16.6</v>
      </c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>
        <f t="shared" si="13"/>
        <v>136.5</v>
      </c>
      <c r="AG74" s="102">
        <f t="shared" si="16"/>
        <v>1605.8000000000002</v>
      </c>
    </row>
    <row r="75" spans="1:33" s="87" customFormat="1" ht="15" customHeight="1">
      <c r="A75" s="88" t="s">
        <v>16</v>
      </c>
      <c r="B75" s="85">
        <v>224.00000000000003</v>
      </c>
      <c r="C75" s="85">
        <v>147.3</v>
      </c>
      <c r="D75" s="85"/>
      <c r="E75" s="85">
        <v>6.4</v>
      </c>
      <c r="F75" s="85"/>
      <c r="G75" s="85"/>
      <c r="H75" s="85"/>
      <c r="I75" s="85"/>
      <c r="J75" s="85"/>
      <c r="K75" s="85"/>
      <c r="L75" s="85">
        <v>8.2</v>
      </c>
      <c r="M75" s="85"/>
      <c r="N75" s="85"/>
      <c r="O75" s="85"/>
      <c r="P75" s="85">
        <v>10.7</v>
      </c>
      <c r="Q75" s="85">
        <v>49.4</v>
      </c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>
        <f t="shared" si="13"/>
        <v>74.69999999999999</v>
      </c>
      <c r="AG75" s="102">
        <f t="shared" si="16"/>
        <v>296.6000000000001</v>
      </c>
    </row>
    <row r="76" spans="1:33" s="105" customFormat="1" ht="15">
      <c r="A76" s="104" t="s">
        <v>49</v>
      </c>
      <c r="B76" s="85">
        <v>108.90000000000009</v>
      </c>
      <c r="C76" s="85">
        <v>115.20000000000002</v>
      </c>
      <c r="D76" s="85"/>
      <c r="E76" s="98">
        <v>15.5</v>
      </c>
      <c r="F76" s="98"/>
      <c r="G76" s="98"/>
      <c r="H76" s="98"/>
      <c r="I76" s="98">
        <v>16.9</v>
      </c>
      <c r="J76" s="98"/>
      <c r="K76" s="98">
        <v>6.3</v>
      </c>
      <c r="L76" s="98">
        <v>25.1</v>
      </c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85">
        <f t="shared" si="13"/>
        <v>63.8</v>
      </c>
      <c r="AG76" s="102">
        <f t="shared" si="16"/>
        <v>160.30000000000013</v>
      </c>
    </row>
    <row r="77" spans="1:33" s="105" customFormat="1" ht="15">
      <c r="A77" s="88" t="s">
        <v>5</v>
      </c>
      <c r="B77" s="85">
        <v>89.5</v>
      </c>
      <c r="C77" s="85">
        <v>14.600000000000009</v>
      </c>
      <c r="D77" s="85"/>
      <c r="E77" s="98">
        <v>11.2</v>
      </c>
      <c r="F77" s="98"/>
      <c r="G77" s="98"/>
      <c r="H77" s="98"/>
      <c r="I77" s="98"/>
      <c r="J77" s="98"/>
      <c r="K77" s="98"/>
      <c r="L77" s="98">
        <v>25.1</v>
      </c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85">
        <f t="shared" si="13"/>
        <v>36.3</v>
      </c>
      <c r="AG77" s="102">
        <f t="shared" si="16"/>
        <v>67.80000000000001</v>
      </c>
    </row>
    <row r="78" spans="1:33" s="105" customFormat="1" ht="15" hidden="1">
      <c r="A78" s="88" t="s">
        <v>3</v>
      </c>
      <c r="B78" s="85"/>
      <c r="C78" s="85">
        <v>0</v>
      </c>
      <c r="D78" s="85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85">
        <f t="shared" si="13"/>
        <v>0</v>
      </c>
      <c r="AG78" s="102">
        <f t="shared" si="16"/>
        <v>0</v>
      </c>
    </row>
    <row r="79" spans="1:33" s="105" customFormat="1" ht="15" hidden="1">
      <c r="A79" s="88" t="s">
        <v>1</v>
      </c>
      <c r="B79" s="85"/>
      <c r="C79" s="85">
        <v>0</v>
      </c>
      <c r="D79" s="85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85">
        <f t="shared" si="13"/>
        <v>0</v>
      </c>
      <c r="AG79" s="102">
        <f t="shared" si="16"/>
        <v>0</v>
      </c>
    </row>
    <row r="80" spans="1:33" s="105" customFormat="1" ht="15">
      <c r="A80" s="88" t="s">
        <v>2</v>
      </c>
      <c r="B80" s="85">
        <v>4.5</v>
      </c>
      <c r="C80" s="85">
        <v>12.1</v>
      </c>
      <c r="D80" s="85"/>
      <c r="E80" s="98">
        <v>4.3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85">
        <f t="shared" si="13"/>
        <v>4.3</v>
      </c>
      <c r="AG80" s="102">
        <f t="shared" si="16"/>
        <v>12.3</v>
      </c>
    </row>
    <row r="81" spans="1:38" s="105" customFormat="1" ht="15">
      <c r="A81" s="104" t="s">
        <v>50</v>
      </c>
      <c r="B81" s="85">
        <v>51.900000000000006</v>
      </c>
      <c r="C81" s="98">
        <v>49.7</v>
      </c>
      <c r="D81" s="98"/>
      <c r="E81" s="98"/>
      <c r="F81" s="98"/>
      <c r="G81" s="98"/>
      <c r="H81" s="98"/>
      <c r="I81" s="98"/>
      <c r="J81" s="98">
        <v>51.1</v>
      </c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85">
        <f t="shared" si="13"/>
        <v>51.1</v>
      </c>
      <c r="AG81" s="102">
        <f t="shared" si="16"/>
        <v>50.50000000000001</v>
      </c>
      <c r="AI81" s="106"/>
      <c r="AL81" s="106"/>
    </row>
    <row r="82" spans="1:33" s="105" customFormat="1" ht="15" hidden="1">
      <c r="A82" s="104" t="s">
        <v>41</v>
      </c>
      <c r="B82" s="85"/>
      <c r="C82" s="98">
        <v>0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85">
        <f t="shared" si="13"/>
        <v>0</v>
      </c>
      <c r="AG82" s="102">
        <f t="shared" si="16"/>
        <v>0</v>
      </c>
    </row>
    <row r="83" spans="1:33" s="105" customFormat="1" ht="15">
      <c r="A83" s="104" t="s">
        <v>64</v>
      </c>
      <c r="B83" s="98">
        <f>28+52.7</f>
        <v>80.7</v>
      </c>
      <c r="C83" s="98">
        <v>45.10000000000013</v>
      </c>
      <c r="D83" s="98"/>
      <c r="E83" s="98">
        <v>73.1</v>
      </c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>
        <v>-0.5</v>
      </c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85">
        <f t="shared" si="13"/>
        <v>72.6</v>
      </c>
      <c r="AG83" s="85">
        <f t="shared" si="16"/>
        <v>53.20000000000013</v>
      </c>
    </row>
    <row r="84" spans="1:33" s="105" customFormat="1" ht="15" hidden="1">
      <c r="A84" s="107" t="s">
        <v>21</v>
      </c>
      <c r="B84" s="85"/>
      <c r="C84" s="98">
        <v>0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85">
        <f t="shared" si="13"/>
        <v>0</v>
      </c>
      <c r="AG84" s="85">
        <f t="shared" si="16"/>
        <v>0</v>
      </c>
    </row>
    <row r="85" spans="1:33" s="105" customFormat="1" ht="15" hidden="1">
      <c r="A85" s="107" t="s">
        <v>22</v>
      </c>
      <c r="B85" s="85"/>
      <c r="C85" s="98">
        <v>0</v>
      </c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85">
        <f t="shared" si="13"/>
        <v>0</v>
      </c>
      <c r="AG85" s="85">
        <f t="shared" si="16"/>
        <v>0</v>
      </c>
    </row>
    <row r="86" spans="1:33" s="105" customFormat="1" ht="30.75" hidden="1">
      <c r="A86" s="107" t="s">
        <v>24</v>
      </c>
      <c r="B86" s="85"/>
      <c r="C86" s="98">
        <v>0</v>
      </c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85">
        <f t="shared" si="13"/>
        <v>0</v>
      </c>
      <c r="AG86" s="85">
        <f t="shared" si="16"/>
        <v>0</v>
      </c>
    </row>
    <row r="87" spans="1:33" s="105" customFormat="1" ht="30.75" hidden="1">
      <c r="A87" s="107" t="s">
        <v>28</v>
      </c>
      <c r="B87" s="85"/>
      <c r="C87" s="98">
        <v>0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85">
        <f t="shared" si="13"/>
        <v>0</v>
      </c>
      <c r="AG87" s="85">
        <f t="shared" si="16"/>
        <v>0</v>
      </c>
    </row>
    <row r="88" spans="1:34" s="87" customFormat="1" ht="15" hidden="1">
      <c r="A88" s="84" t="s">
        <v>44</v>
      </c>
      <c r="B88" s="85"/>
      <c r="C88" s="85">
        <v>0</v>
      </c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>
        <f t="shared" si="13"/>
        <v>0</v>
      </c>
      <c r="AG88" s="85">
        <f t="shared" si="16"/>
        <v>0</v>
      </c>
      <c r="AH88" s="105"/>
    </row>
    <row r="89" spans="1:34" s="87" customFormat="1" ht="15">
      <c r="A89" s="84" t="s">
        <v>51</v>
      </c>
      <c r="B89" s="85">
        <f>11755.5-319</f>
        <v>11436.5</v>
      </c>
      <c r="C89" s="85">
        <v>7479.300000000003</v>
      </c>
      <c r="D89" s="85"/>
      <c r="E89" s="85">
        <v>257.1</v>
      </c>
      <c r="F89" s="85"/>
      <c r="G89" s="85">
        <f>991.9+315.5</f>
        <v>1307.4</v>
      </c>
      <c r="H89" s="85"/>
      <c r="I89" s="85"/>
      <c r="J89" s="85"/>
      <c r="K89" s="85"/>
      <c r="L89" s="85">
        <v>342.5</v>
      </c>
      <c r="M89" s="85"/>
      <c r="N89" s="85"/>
      <c r="O89" s="85"/>
      <c r="P89" s="85"/>
      <c r="Q89" s="85">
        <v>526.7</v>
      </c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>
        <f t="shared" si="13"/>
        <v>2433.7</v>
      </c>
      <c r="AG89" s="85">
        <f t="shared" si="16"/>
        <v>16482.100000000002</v>
      </c>
      <c r="AH89" s="105"/>
    </row>
    <row r="90" spans="1:34" s="87" customFormat="1" ht="15">
      <c r="A90" s="84" t="s">
        <v>52</v>
      </c>
      <c r="B90" s="85">
        <v>2457.1</v>
      </c>
      <c r="C90" s="85">
        <v>0</v>
      </c>
      <c r="D90" s="85"/>
      <c r="E90" s="85"/>
      <c r="F90" s="85"/>
      <c r="G90" s="85"/>
      <c r="H90" s="85"/>
      <c r="I90" s="85">
        <v>819</v>
      </c>
      <c r="J90" s="85"/>
      <c r="K90" s="85"/>
      <c r="L90" s="85"/>
      <c r="M90" s="85"/>
      <c r="N90" s="85"/>
      <c r="O90" s="85"/>
      <c r="P90" s="85"/>
      <c r="Q90" s="85">
        <v>819</v>
      </c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>
        <f t="shared" si="13"/>
        <v>1638</v>
      </c>
      <c r="AG90" s="85">
        <f t="shared" si="16"/>
        <v>819.0999999999999</v>
      </c>
      <c r="AH90" s="105"/>
    </row>
    <row r="91" spans="1:34" s="87" customFormat="1" ht="15">
      <c r="A91" s="84" t="s">
        <v>25</v>
      </c>
      <c r="B91" s="85">
        <v>0</v>
      </c>
      <c r="C91" s="85">
        <v>912.9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>
        <f t="shared" si="13"/>
        <v>0</v>
      </c>
      <c r="AG91" s="85">
        <f t="shared" si="16"/>
        <v>912.9</v>
      </c>
      <c r="AH91" s="105"/>
    </row>
    <row r="92" spans="1:34" s="87" customFormat="1" ht="15">
      <c r="A92" s="84" t="s">
        <v>37</v>
      </c>
      <c r="B92" s="85">
        <f>28994.9-346.3</f>
        <v>28648.600000000002</v>
      </c>
      <c r="C92" s="85">
        <v>1426.4000000000087</v>
      </c>
      <c r="D92" s="85">
        <f>966.6+120.1</f>
        <v>1086.7</v>
      </c>
      <c r="E92" s="85">
        <v>3270.97</v>
      </c>
      <c r="F92" s="85"/>
      <c r="G92" s="85">
        <v>110</v>
      </c>
      <c r="H92" s="85">
        <f>3875.7+630.5</f>
        <v>4506.2</v>
      </c>
      <c r="I92" s="85">
        <f>5365.3+124.9</f>
        <v>5490.2</v>
      </c>
      <c r="J92" s="85">
        <f>2908.8+496.4+658.7</f>
        <v>4063.9000000000005</v>
      </c>
      <c r="K92" s="85">
        <f>6118.1+1153.3</f>
        <v>7271.400000000001</v>
      </c>
      <c r="L92" s="85"/>
      <c r="M92" s="85">
        <f>1541.8+43.5</f>
        <v>1585.3</v>
      </c>
      <c r="N92" s="85">
        <v>172.5</v>
      </c>
      <c r="O92" s="85"/>
      <c r="P92" s="85"/>
      <c r="Q92" s="85">
        <v>218.8</v>
      </c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>
        <f t="shared" si="13"/>
        <v>27775.97</v>
      </c>
      <c r="AG92" s="85">
        <f t="shared" si="16"/>
        <v>2299.0300000000097</v>
      </c>
      <c r="AH92" s="10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7" ref="B94:Y94">B10+B15+B24+B33+B47+B52+B54+B61+B62+B69+B71+B72+B76+B81+B82+B83+B88+B89+B90+B91+B40+B92+B70</f>
        <v>165220.21</v>
      </c>
      <c r="C94" s="42">
        <f t="shared" si="17"/>
        <v>87709.34909999999</v>
      </c>
      <c r="D94" s="42">
        <f t="shared" si="17"/>
        <v>1079.7</v>
      </c>
      <c r="E94" s="42">
        <f t="shared" si="17"/>
        <v>5672.369999999999</v>
      </c>
      <c r="F94" s="42">
        <f t="shared" si="17"/>
        <v>3145.1</v>
      </c>
      <c r="G94" s="42">
        <f t="shared" si="17"/>
        <v>7842.199999999999</v>
      </c>
      <c r="H94" s="42">
        <f>H10+H15+H24+H33+H47+H52+H54+H61+H62+H69+H71+H72+H76+H81+H82+H83+H88+H89+H90+H91+H40+H92+H70</f>
        <v>7923.299999999999</v>
      </c>
      <c r="I94" s="42">
        <f t="shared" si="17"/>
        <v>9180.3</v>
      </c>
      <c r="J94" s="42">
        <f t="shared" si="17"/>
        <v>11723.400000000001</v>
      </c>
      <c r="K94" s="42">
        <f t="shared" si="17"/>
        <v>12717.300000000001</v>
      </c>
      <c r="L94" s="42">
        <f t="shared" si="17"/>
        <v>29405.599999999995</v>
      </c>
      <c r="M94" s="42">
        <f t="shared" si="17"/>
        <v>2573.4</v>
      </c>
      <c r="N94" s="42">
        <f t="shared" si="17"/>
        <v>6744.299999999999</v>
      </c>
      <c r="O94" s="42">
        <f t="shared" si="17"/>
        <v>3546.2</v>
      </c>
      <c r="P94" s="42">
        <f t="shared" si="17"/>
        <v>4486.9</v>
      </c>
      <c r="Q94" s="42">
        <f t="shared" si="17"/>
        <v>5670.500000000001</v>
      </c>
      <c r="R94" s="42">
        <f t="shared" si="17"/>
        <v>0</v>
      </c>
      <c r="S94" s="42">
        <f t="shared" si="17"/>
        <v>0</v>
      </c>
      <c r="T94" s="42">
        <f t="shared" si="17"/>
        <v>0</v>
      </c>
      <c r="U94" s="42">
        <f t="shared" si="17"/>
        <v>0</v>
      </c>
      <c r="V94" s="42">
        <f t="shared" si="17"/>
        <v>0</v>
      </c>
      <c r="W94" s="42">
        <f t="shared" si="17"/>
        <v>0</v>
      </c>
      <c r="X94" s="42">
        <f t="shared" si="17"/>
        <v>0</v>
      </c>
      <c r="Y94" s="42">
        <f t="shared" si="17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111710.56999999999</v>
      </c>
      <c r="AG94" s="58">
        <f>AG10+AG15+AG24+AG33+AG47+AG52+AG54+AG61+AG62+AG69+AG71+AG72+AG76+AG81+AG82+AG83+AG88+AG89+AG90+AG91+AG70+AG40+AG92</f>
        <v>141218.9891</v>
      </c>
    </row>
    <row r="95" spans="1:36" ht="15">
      <c r="A95" s="3" t="s">
        <v>5</v>
      </c>
      <c r="B95" s="22">
        <f aca="true" t="shared" si="18" ref="B95:AD95">B11+B17+B26+B34+B55+B63+B73+B41+B77+B48</f>
        <v>55261.55627999999</v>
      </c>
      <c r="C95" s="22">
        <f t="shared" si="18"/>
        <v>28165.260999999995</v>
      </c>
      <c r="D95" s="22">
        <f t="shared" si="18"/>
        <v>-7</v>
      </c>
      <c r="E95" s="22">
        <f t="shared" si="18"/>
        <v>67.4</v>
      </c>
      <c r="F95" s="22">
        <f t="shared" si="18"/>
        <v>50.6</v>
      </c>
      <c r="G95" s="22">
        <f t="shared" si="18"/>
        <v>41.7</v>
      </c>
      <c r="H95" s="22">
        <f t="shared" si="18"/>
        <v>864.1</v>
      </c>
      <c r="I95" s="22">
        <f t="shared" si="18"/>
        <v>0</v>
      </c>
      <c r="J95" s="22">
        <f t="shared" si="18"/>
        <v>151.6</v>
      </c>
      <c r="K95" s="22">
        <f t="shared" si="18"/>
        <v>13.8</v>
      </c>
      <c r="L95" s="22">
        <f t="shared" si="18"/>
        <v>26636.799999999992</v>
      </c>
      <c r="M95" s="22">
        <f t="shared" si="18"/>
        <v>19.5</v>
      </c>
      <c r="N95" s="22">
        <f t="shared" si="18"/>
        <v>10.6</v>
      </c>
      <c r="O95" s="22">
        <f t="shared" si="18"/>
        <v>2.1</v>
      </c>
      <c r="P95" s="22">
        <f t="shared" si="18"/>
        <v>0</v>
      </c>
      <c r="Q95" s="22">
        <f t="shared" si="18"/>
        <v>278.1</v>
      </c>
      <c r="R95" s="22">
        <f t="shared" si="18"/>
        <v>0</v>
      </c>
      <c r="S95" s="22">
        <f t="shared" si="18"/>
        <v>0</v>
      </c>
      <c r="T95" s="22">
        <f t="shared" si="18"/>
        <v>0</v>
      </c>
      <c r="U95" s="22">
        <f t="shared" si="18"/>
        <v>0</v>
      </c>
      <c r="V95" s="22">
        <f t="shared" si="18"/>
        <v>0</v>
      </c>
      <c r="W95" s="22">
        <f t="shared" si="18"/>
        <v>0</v>
      </c>
      <c r="X95" s="22">
        <f t="shared" si="18"/>
        <v>0</v>
      </c>
      <c r="Y95" s="22">
        <f t="shared" si="18"/>
        <v>0</v>
      </c>
      <c r="Z95" s="22">
        <f t="shared" si="18"/>
        <v>0</v>
      </c>
      <c r="AA95" s="22">
        <f t="shared" si="18"/>
        <v>0</v>
      </c>
      <c r="AB95" s="22">
        <f t="shared" si="18"/>
        <v>0</v>
      </c>
      <c r="AC95" s="22">
        <f t="shared" si="18"/>
        <v>0</v>
      </c>
      <c r="AD95" s="22">
        <f t="shared" si="18"/>
        <v>0</v>
      </c>
      <c r="AE95" s="22"/>
      <c r="AF95" s="22">
        <f>SUM(D95:AD95)</f>
        <v>28129.29999999999</v>
      </c>
      <c r="AG95" s="27">
        <f>B95+C95-AF95</f>
        <v>55297.51728</v>
      </c>
      <c r="AI95" s="5"/>
      <c r="AJ95" s="6"/>
    </row>
    <row r="96" spans="1:36" ht="15">
      <c r="A96" s="3" t="s">
        <v>2</v>
      </c>
      <c r="B96" s="22">
        <f aca="true" t="shared" si="19" ref="B96:AD96">B12+B20+B29+B36+B57+B66+B44+B80+B74+B53</f>
        <v>14589.748139999998</v>
      </c>
      <c r="C96" s="22">
        <f t="shared" si="19"/>
        <v>12157.444000000003</v>
      </c>
      <c r="D96" s="22">
        <f t="shared" si="19"/>
        <v>0</v>
      </c>
      <c r="E96" s="22">
        <f t="shared" si="19"/>
        <v>14.600000000000001</v>
      </c>
      <c r="F96" s="22">
        <f t="shared" si="19"/>
        <v>2128.7000000000003</v>
      </c>
      <c r="G96" s="22">
        <f t="shared" si="19"/>
        <v>1216.7</v>
      </c>
      <c r="H96" s="22">
        <f t="shared" si="19"/>
        <v>1476.9</v>
      </c>
      <c r="I96" s="22">
        <f t="shared" si="19"/>
        <v>64.9</v>
      </c>
      <c r="J96" s="22">
        <f t="shared" si="19"/>
        <v>364</v>
      </c>
      <c r="K96" s="22">
        <f t="shared" si="19"/>
        <v>410.9</v>
      </c>
      <c r="L96" s="22">
        <f t="shared" si="19"/>
        <v>147.39999999999998</v>
      </c>
      <c r="M96" s="22">
        <f t="shared" si="19"/>
        <v>91.1</v>
      </c>
      <c r="N96" s="22">
        <f t="shared" si="19"/>
        <v>1174.6</v>
      </c>
      <c r="O96" s="22">
        <f t="shared" si="19"/>
        <v>333.2</v>
      </c>
      <c r="P96" s="22">
        <f t="shared" si="19"/>
        <v>529.1999999999999</v>
      </c>
      <c r="Q96" s="22">
        <f t="shared" si="19"/>
        <v>766.2</v>
      </c>
      <c r="R96" s="22">
        <f t="shared" si="19"/>
        <v>0</v>
      </c>
      <c r="S96" s="22">
        <f t="shared" si="19"/>
        <v>0</v>
      </c>
      <c r="T96" s="22">
        <f t="shared" si="19"/>
        <v>0</v>
      </c>
      <c r="U96" s="22">
        <f t="shared" si="19"/>
        <v>0</v>
      </c>
      <c r="V96" s="22">
        <f t="shared" si="19"/>
        <v>0</v>
      </c>
      <c r="W96" s="22">
        <f t="shared" si="19"/>
        <v>0</v>
      </c>
      <c r="X96" s="22">
        <f t="shared" si="19"/>
        <v>0</v>
      </c>
      <c r="Y96" s="22">
        <f t="shared" si="19"/>
        <v>0</v>
      </c>
      <c r="Z96" s="22">
        <f t="shared" si="19"/>
        <v>0</v>
      </c>
      <c r="AA96" s="22">
        <f t="shared" si="19"/>
        <v>0</v>
      </c>
      <c r="AB96" s="22">
        <f t="shared" si="19"/>
        <v>0</v>
      </c>
      <c r="AC96" s="22">
        <f t="shared" si="19"/>
        <v>0</v>
      </c>
      <c r="AD96" s="22">
        <f t="shared" si="19"/>
        <v>0</v>
      </c>
      <c r="AE96" s="22"/>
      <c r="AF96" s="22">
        <f>SUM(D96:AD96)</f>
        <v>8718.4</v>
      </c>
      <c r="AG96" s="27">
        <f>B96+C96-AF96</f>
        <v>18028.792139999998</v>
      </c>
      <c r="AJ96" s="6"/>
    </row>
    <row r="97" spans="1:36" ht="15">
      <c r="A97" s="3" t="s">
        <v>3</v>
      </c>
      <c r="B97" s="22">
        <f aca="true" t="shared" si="20" ref="B97:AA97">B18+B27+B42+B64+B78</f>
        <v>4.27</v>
      </c>
      <c r="C97" s="22">
        <f t="shared" si="20"/>
        <v>32.25</v>
      </c>
      <c r="D97" s="22">
        <f t="shared" si="20"/>
        <v>0</v>
      </c>
      <c r="E97" s="22">
        <f t="shared" si="20"/>
        <v>0</v>
      </c>
      <c r="F97" s="22">
        <f t="shared" si="20"/>
        <v>5</v>
      </c>
      <c r="G97" s="22">
        <f t="shared" si="20"/>
        <v>0</v>
      </c>
      <c r="H97" s="22">
        <f t="shared" si="20"/>
        <v>1.2</v>
      </c>
      <c r="I97" s="22">
        <f t="shared" si="20"/>
        <v>0</v>
      </c>
      <c r="J97" s="22">
        <f t="shared" si="20"/>
        <v>0</v>
      </c>
      <c r="K97" s="22">
        <f t="shared" si="20"/>
        <v>0</v>
      </c>
      <c r="L97" s="22">
        <f t="shared" si="20"/>
        <v>0</v>
      </c>
      <c r="M97" s="22">
        <f t="shared" si="20"/>
        <v>0</v>
      </c>
      <c r="N97" s="22">
        <f t="shared" si="20"/>
        <v>2.5</v>
      </c>
      <c r="O97" s="22">
        <f t="shared" si="20"/>
        <v>0</v>
      </c>
      <c r="P97" s="22">
        <f t="shared" si="20"/>
        <v>2.2</v>
      </c>
      <c r="Q97" s="22">
        <f t="shared" si="20"/>
        <v>0</v>
      </c>
      <c r="R97" s="22">
        <f t="shared" si="20"/>
        <v>0</v>
      </c>
      <c r="S97" s="22">
        <f t="shared" si="20"/>
        <v>0</v>
      </c>
      <c r="T97" s="22">
        <f t="shared" si="20"/>
        <v>0</v>
      </c>
      <c r="U97" s="22">
        <f t="shared" si="20"/>
        <v>0</v>
      </c>
      <c r="V97" s="22">
        <f t="shared" si="20"/>
        <v>0</v>
      </c>
      <c r="W97" s="22">
        <f t="shared" si="20"/>
        <v>0</v>
      </c>
      <c r="X97" s="22">
        <f t="shared" si="20"/>
        <v>0</v>
      </c>
      <c r="Y97" s="22">
        <f t="shared" si="20"/>
        <v>0</v>
      </c>
      <c r="Z97" s="22">
        <f t="shared" si="20"/>
        <v>0</v>
      </c>
      <c r="AA97" s="22">
        <f t="shared" si="20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10.899999999999999</v>
      </c>
      <c r="AG97" s="27">
        <f>B97+C97-AF97</f>
        <v>25.619999999999997</v>
      </c>
      <c r="AJ97" s="6"/>
    </row>
    <row r="98" spans="1:36" ht="15">
      <c r="A98" s="3" t="s">
        <v>1</v>
      </c>
      <c r="B98" s="22">
        <f aca="true" t="shared" si="21" ref="B98:AD98">B19+B28+B65+B35+B43+B56+B79</f>
        <v>3589.2480000000032</v>
      </c>
      <c r="C98" s="22">
        <f t="shared" si="21"/>
        <v>2303.7940000000003</v>
      </c>
      <c r="D98" s="22">
        <f t="shared" si="21"/>
        <v>0</v>
      </c>
      <c r="E98" s="22">
        <f t="shared" si="21"/>
        <v>0</v>
      </c>
      <c r="F98" s="22">
        <f t="shared" si="21"/>
        <v>325</v>
      </c>
      <c r="G98" s="22">
        <f t="shared" si="21"/>
        <v>315.4</v>
      </c>
      <c r="H98" s="22">
        <f t="shared" si="21"/>
        <v>681.7</v>
      </c>
      <c r="I98" s="22">
        <f t="shared" si="21"/>
        <v>359.4</v>
      </c>
      <c r="J98" s="22">
        <f t="shared" si="21"/>
        <v>9.6</v>
      </c>
      <c r="K98" s="22">
        <f t="shared" si="21"/>
        <v>196.39999999999998</v>
      </c>
      <c r="L98" s="22">
        <f t="shared" si="21"/>
        <v>111.4</v>
      </c>
      <c r="M98" s="22">
        <f t="shared" si="21"/>
        <v>14.2</v>
      </c>
      <c r="N98" s="22">
        <f t="shared" si="21"/>
        <v>324.6</v>
      </c>
      <c r="O98" s="22">
        <f t="shared" si="21"/>
        <v>109.5</v>
      </c>
      <c r="P98" s="22">
        <f t="shared" si="21"/>
        <v>220.1</v>
      </c>
      <c r="Q98" s="22">
        <f t="shared" si="21"/>
        <v>491.8</v>
      </c>
      <c r="R98" s="22">
        <f t="shared" si="21"/>
        <v>0</v>
      </c>
      <c r="S98" s="22">
        <f t="shared" si="21"/>
        <v>0</v>
      </c>
      <c r="T98" s="22">
        <f t="shared" si="21"/>
        <v>0</v>
      </c>
      <c r="U98" s="22">
        <f t="shared" si="21"/>
        <v>0</v>
      </c>
      <c r="V98" s="22">
        <f t="shared" si="21"/>
        <v>0</v>
      </c>
      <c r="W98" s="22">
        <f t="shared" si="21"/>
        <v>0</v>
      </c>
      <c r="X98" s="22">
        <f t="shared" si="21"/>
        <v>0</v>
      </c>
      <c r="Y98" s="22">
        <f t="shared" si="21"/>
        <v>0</v>
      </c>
      <c r="Z98" s="22">
        <f t="shared" si="21"/>
        <v>0</v>
      </c>
      <c r="AA98" s="22">
        <f t="shared" si="21"/>
        <v>0</v>
      </c>
      <c r="AB98" s="22">
        <f t="shared" si="21"/>
        <v>0</v>
      </c>
      <c r="AC98" s="22">
        <f t="shared" si="21"/>
        <v>0</v>
      </c>
      <c r="AD98" s="22">
        <f t="shared" si="21"/>
        <v>0</v>
      </c>
      <c r="AE98" s="22"/>
      <c r="AF98" s="22">
        <f>SUM(D98:AD98)</f>
        <v>3159.1000000000004</v>
      </c>
      <c r="AG98" s="27">
        <f>B98+C98-AF98</f>
        <v>2733.9420000000027</v>
      </c>
      <c r="AJ98" s="6"/>
    </row>
    <row r="99" spans="1:36" ht="15">
      <c r="A99" s="3" t="s">
        <v>16</v>
      </c>
      <c r="B99" s="22">
        <f aca="true" t="shared" si="22" ref="B99:X99">B21+B30+B49+B37+B58+B13+B75+B67</f>
        <v>2146.3959999999997</v>
      </c>
      <c r="C99" s="22">
        <f t="shared" si="22"/>
        <v>2188.9</v>
      </c>
      <c r="D99" s="22">
        <f t="shared" si="22"/>
        <v>0</v>
      </c>
      <c r="E99" s="22">
        <f t="shared" si="22"/>
        <v>6.4</v>
      </c>
      <c r="F99" s="22">
        <f t="shared" si="22"/>
        <v>40</v>
      </c>
      <c r="G99" s="22">
        <f t="shared" si="22"/>
        <v>1.2</v>
      </c>
      <c r="H99" s="22">
        <f t="shared" si="22"/>
        <v>49.4</v>
      </c>
      <c r="I99" s="22">
        <f t="shared" si="22"/>
        <v>3.9</v>
      </c>
      <c r="J99" s="22">
        <f t="shared" si="22"/>
        <v>0</v>
      </c>
      <c r="K99" s="22">
        <f t="shared" si="22"/>
        <v>207.70000000000002</v>
      </c>
      <c r="L99" s="22">
        <f t="shared" si="22"/>
        <v>8.2</v>
      </c>
      <c r="M99" s="22">
        <f t="shared" si="22"/>
        <v>65</v>
      </c>
      <c r="N99" s="22">
        <f t="shared" si="22"/>
        <v>0</v>
      </c>
      <c r="O99" s="22">
        <f t="shared" si="22"/>
        <v>0</v>
      </c>
      <c r="P99" s="22">
        <f t="shared" si="22"/>
        <v>10.7</v>
      </c>
      <c r="Q99" s="22">
        <f t="shared" si="22"/>
        <v>56.4</v>
      </c>
      <c r="R99" s="22">
        <f t="shared" si="22"/>
        <v>0</v>
      </c>
      <c r="S99" s="22">
        <f t="shared" si="22"/>
        <v>0</v>
      </c>
      <c r="T99" s="22">
        <f t="shared" si="22"/>
        <v>0</v>
      </c>
      <c r="U99" s="22">
        <f t="shared" si="22"/>
        <v>0</v>
      </c>
      <c r="V99" s="22">
        <f t="shared" si="22"/>
        <v>0</v>
      </c>
      <c r="W99" s="22">
        <f t="shared" si="22"/>
        <v>0</v>
      </c>
      <c r="X99" s="22">
        <f t="shared" si="22"/>
        <v>0</v>
      </c>
      <c r="Y99" s="22">
        <f aca="true" t="shared" si="23" ref="Y99:AD99">Y21+Y30+Y49+Y37+Y58+Y13+Y75</f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448.9</v>
      </c>
      <c r="AG99" s="27">
        <f>B99+C99-AF99</f>
        <v>3886.396</v>
      </c>
      <c r="AJ99" s="6"/>
    </row>
    <row r="100" spans="1:36" ht="13.5">
      <c r="A100" s="1" t="s">
        <v>35</v>
      </c>
      <c r="B100" s="2">
        <f aca="true" t="shared" si="24" ref="B100:AD100">B94-B95-B96-B97-B98-B99</f>
        <v>89628.99158</v>
      </c>
      <c r="C100" s="2">
        <f t="shared" si="24"/>
        <v>42861.70009999999</v>
      </c>
      <c r="D100" s="2">
        <f t="shared" si="24"/>
        <v>1086.7</v>
      </c>
      <c r="E100" s="2">
        <f t="shared" si="24"/>
        <v>5583.969999999999</v>
      </c>
      <c r="F100" s="2">
        <f t="shared" si="24"/>
        <v>595.7999999999997</v>
      </c>
      <c r="G100" s="2">
        <f t="shared" si="24"/>
        <v>6267.2</v>
      </c>
      <c r="H100" s="2">
        <f t="shared" si="24"/>
        <v>4850</v>
      </c>
      <c r="I100" s="2">
        <f t="shared" si="24"/>
        <v>8752.1</v>
      </c>
      <c r="J100" s="2">
        <f t="shared" si="24"/>
        <v>11198.2</v>
      </c>
      <c r="K100" s="2">
        <f t="shared" si="24"/>
        <v>11888.500000000002</v>
      </c>
      <c r="L100" s="2">
        <f t="shared" si="24"/>
        <v>2501.800000000003</v>
      </c>
      <c r="M100" s="2">
        <f t="shared" si="24"/>
        <v>2383.6000000000004</v>
      </c>
      <c r="N100" s="2">
        <f t="shared" si="24"/>
        <v>5231.999999999998</v>
      </c>
      <c r="O100" s="2">
        <f t="shared" si="24"/>
        <v>3101.4</v>
      </c>
      <c r="P100" s="2">
        <f t="shared" si="24"/>
        <v>3724.7000000000003</v>
      </c>
      <c r="Q100" s="2">
        <f t="shared" si="24"/>
        <v>4078.0000000000005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71243.97000000002</v>
      </c>
      <c r="AG100" s="2">
        <f>AG94-AG95-AG96-AG97-AG98-AG99</f>
        <v>61246.72168</v>
      </c>
      <c r="AJ100" s="6"/>
    </row>
    <row r="101" spans="1:35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  <c r="AI101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>
        <f>AF92+листопад!AF92+жовт!AF92+вер!AF92+сер!AF92+лип!AF92+черв!AF92+трав!AF92+квіт!AF92+бер!AF92+лют!AF92+січ!AF92</f>
        <v>355892.07</v>
      </c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57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9" sqref="A49:IV4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</row>
    <row r="2" spans="1:33" ht="22.5" customHeight="1">
      <c r="A2" s="110" t="s">
        <v>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</row>
    <row r="3" spans="2:33" ht="17.25" customHeight="1">
      <c r="B3" s="15"/>
      <c r="C3" s="15"/>
      <c r="D3" s="15"/>
      <c r="V3" s="6">
        <f>C7+B7-AF16-AF25</f>
        <v>24138.6</v>
      </c>
      <c r="X3" s="21">
        <f>B8+C8-AF9</f>
        <v>30038.62221</v>
      </c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2017-12-01T10:11:11Z</cp:lastPrinted>
  <dcterms:created xsi:type="dcterms:W3CDTF">2002-11-05T08:53:00Z</dcterms:created>
  <dcterms:modified xsi:type="dcterms:W3CDTF">2017-12-21T05:53:59Z</dcterms:modified>
  <cp:category/>
  <cp:version/>
  <cp:contentType/>
  <cp:contentStatus/>
</cp:coreProperties>
</file>